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755" yWindow="45" windowWidth="13140" windowHeight="10035" tabRatio="819" activeTab="3"/>
  </bookViews>
  <sheets>
    <sheet name="ID" sheetId="1" r:id="rId1"/>
    <sheet name="Identification" sheetId="2" r:id="rId2"/>
    <sheet name="Numéros" sheetId="3" r:id="rId3"/>
    <sheet name="Mémo" sheetId="14" r:id="rId4"/>
    <sheet name="Avancement" sheetId="16" r:id="rId5"/>
  </sheets>
  <definedNames>
    <definedName name="_xlnm._FilterDatabase" localSheetId="4" hidden="1">Avancement!$A$4:$P$4</definedName>
    <definedName name="_xlnm._FilterDatabase" localSheetId="1" hidden="1">Identification!$A$1:$P$2</definedName>
    <definedName name="_xlnm._FilterDatabase" localSheetId="2" hidden="1">Numéros!$A$1:$U$2</definedName>
    <definedName name="AVANCT">Avancement!$A$5:$U$6</definedName>
    <definedName name="BANK">#REF!</definedName>
    <definedName name="COMM">#REF!</definedName>
    <definedName name="COMMUNE">#REF!</definedName>
    <definedName name="D">#REF!</definedName>
    <definedName name="IDENT">Identification!$A$2:$AA$12</definedName>
    <definedName name="IDT">ID!$R$1</definedName>
    <definedName name="Liste">Identification!$A$3:$A$12</definedName>
    <definedName name="MEMO">Mémo!$A$3:$D$13</definedName>
    <definedName name="NUM">Numéros!$A$2:$AI$16</definedName>
    <definedName name="PART">#REF!</definedName>
    <definedName name="PERS">#REF!</definedName>
  </definedNames>
  <calcPr calcId="145621"/>
</workbook>
</file>

<file path=xl/calcChain.xml><?xml version="1.0" encoding="utf-8"?>
<calcChain xmlns="http://schemas.openxmlformats.org/spreadsheetml/2006/main">
  <c r="AB1" i="1" l="1"/>
  <c r="R1" i="1"/>
  <c r="R3" i="1"/>
  <c r="A3" i="1"/>
  <c r="D6" i="16"/>
  <c r="K6" i="16" s="1"/>
  <c r="D5" i="16"/>
  <c r="J5" i="16" s="1"/>
  <c r="J6" i="16" l="1"/>
  <c r="K5" i="16"/>
  <c r="Z17" i="1" l="1"/>
  <c r="Z15" i="1"/>
  <c r="Z13" i="1"/>
  <c r="Z11" i="1"/>
  <c r="Z9" i="1"/>
  <c r="Z7" i="1"/>
  <c r="Y3" i="1" l="1"/>
  <c r="H9" i="1" l="1"/>
  <c r="N13" i="1"/>
  <c r="N9" i="1"/>
  <c r="N20" i="1" l="1"/>
  <c r="M20" i="1"/>
  <c r="L20" i="1"/>
  <c r="K20" i="1"/>
  <c r="J20" i="1"/>
  <c r="I20" i="1"/>
  <c r="H20" i="1"/>
  <c r="G20" i="1"/>
  <c r="E20" i="1"/>
  <c r="D20" i="1"/>
  <c r="C20" i="1"/>
  <c r="D18" i="1"/>
  <c r="B20" i="1" l="1"/>
  <c r="A20" i="1"/>
  <c r="H13" i="1"/>
  <c r="G21" i="1" l="1"/>
  <c r="C21" i="1"/>
  <c r="F21" i="1"/>
  <c r="B21" i="1"/>
  <c r="E21" i="1"/>
  <c r="D21" i="1"/>
  <c r="A21" i="1"/>
  <c r="N11" i="1"/>
  <c r="N4" i="1" l="1"/>
  <c r="N3" i="1"/>
  <c r="R4" i="1" l="1"/>
  <c r="Y4" i="1"/>
  <c r="A7" i="1" l="1"/>
  <c r="P2" i="16" l="1"/>
  <c r="S2" i="16"/>
  <c r="G2" i="16"/>
  <c r="N15" i="1"/>
  <c r="I2" i="16" l="1"/>
  <c r="L3" i="16"/>
  <c r="C9" i="1" l="1"/>
  <c r="C12" i="1" s="1"/>
  <c r="C14" i="1" s="1"/>
  <c r="N1" i="1"/>
  <c r="N6" i="1" l="1"/>
  <c r="D6" i="1" l="1"/>
  <c r="A4" i="1" l="1"/>
  <c r="V3" i="1" s="1"/>
  <c r="N2" i="1"/>
  <c r="A6" i="1" l="1"/>
  <c r="B3" i="1"/>
  <c r="E5" i="1" l="1"/>
  <c r="N21" i="1"/>
  <c r="N18" i="1"/>
  <c r="M21" i="1"/>
  <c r="M18" i="1"/>
  <c r="Z8" i="1" l="1"/>
  <c r="X8" i="1"/>
  <c r="X9" i="1" s="1"/>
  <c r="V8" i="1"/>
  <c r="V10" i="1" s="1"/>
  <c r="U8" i="1"/>
  <c r="U10" i="1" s="1"/>
  <c r="T8" i="1"/>
  <c r="T9" i="1" s="1"/>
  <c r="R8" i="1"/>
  <c r="R9" i="1" s="1"/>
  <c r="X7" i="1"/>
  <c r="V7" i="1"/>
  <c r="U7" i="1"/>
  <c r="T7" i="1"/>
  <c r="R7" i="1"/>
  <c r="U9" i="1" l="1"/>
  <c r="V9" i="1"/>
  <c r="U12" i="1"/>
  <c r="U11" i="1"/>
  <c r="V12" i="1"/>
  <c r="V11" i="1"/>
  <c r="R10" i="1"/>
  <c r="X10" i="1"/>
  <c r="T10" i="1"/>
  <c r="Z10" i="1"/>
  <c r="Z12" i="1" l="1"/>
  <c r="T11" i="1"/>
  <c r="T12" i="1"/>
  <c r="V14" i="1"/>
  <c r="V13" i="1"/>
  <c r="X11" i="1"/>
  <c r="X12" i="1"/>
  <c r="R11" i="1"/>
  <c r="R12" i="1"/>
  <c r="U14" i="1"/>
  <c r="U13" i="1"/>
  <c r="D3" i="1"/>
  <c r="D1" i="1"/>
  <c r="D5" i="1"/>
  <c r="X13" i="1" l="1"/>
  <c r="X14" i="1"/>
  <c r="T13" i="1"/>
  <c r="T14" i="1"/>
  <c r="U16" i="1"/>
  <c r="U15" i="1"/>
  <c r="R13" i="1"/>
  <c r="R14" i="1"/>
  <c r="Z14" i="1"/>
  <c r="V16" i="1"/>
  <c r="V15" i="1"/>
  <c r="R15" i="1" l="1"/>
  <c r="R16" i="1"/>
  <c r="T15" i="1"/>
  <c r="T16" i="1"/>
  <c r="V18" i="1"/>
  <c r="V19" i="1" s="1"/>
  <c r="V17" i="1"/>
  <c r="Z16" i="1"/>
  <c r="X15" i="1"/>
  <c r="X16" i="1"/>
  <c r="U18" i="1"/>
  <c r="U19" i="1" s="1"/>
  <c r="U17" i="1"/>
  <c r="Z18" i="1" l="1"/>
  <c r="Z19" i="1" s="1"/>
  <c r="T17" i="1"/>
  <c r="T18" i="1"/>
  <c r="T19" i="1" s="1"/>
  <c r="X17" i="1"/>
  <c r="X18" i="1"/>
  <c r="X19" i="1" s="1"/>
  <c r="R17" i="1"/>
  <c r="R18" i="1"/>
  <c r="R19" i="1" s="1"/>
  <c r="L21" i="1"/>
  <c r="L18" i="1"/>
  <c r="K18" i="1"/>
  <c r="W38" i="1" l="1"/>
  <c r="W35" i="1"/>
  <c r="W32" i="1"/>
  <c r="W29" i="1"/>
  <c r="Q38" i="1"/>
  <c r="Q35" i="1"/>
  <c r="Q32" i="1"/>
  <c r="Q29" i="1"/>
  <c r="W26" i="1"/>
  <c r="Q26" i="1"/>
  <c r="I26" i="1" l="1"/>
  <c r="N45" i="1" l="1"/>
  <c r="N48" i="1" s="1"/>
  <c r="E43" i="1"/>
  <c r="L45" i="1"/>
  <c r="L46" i="1" s="1"/>
  <c r="H45" i="1"/>
  <c r="G45" i="1"/>
  <c r="H48" i="1" s="1"/>
  <c r="E45" i="1"/>
  <c r="E48" i="1" s="1"/>
  <c r="B45" i="1"/>
  <c r="B46" i="1" s="1"/>
  <c r="A45" i="1"/>
  <c r="A46" i="1" s="1"/>
  <c r="A48" i="1" l="1"/>
  <c r="A51" i="1" s="1"/>
  <c r="A54" i="1" s="1"/>
  <c r="A55" i="1" s="1"/>
  <c r="B48" i="1"/>
  <c r="B51" i="1" s="1"/>
  <c r="B54" i="1" s="1"/>
  <c r="B55" i="1" s="1"/>
  <c r="G48" i="1"/>
  <c r="H51" i="1" s="1"/>
  <c r="G46" i="1"/>
  <c r="H46" i="1" s="1"/>
  <c r="L48" i="1"/>
  <c r="E49" i="1"/>
  <c r="E51" i="1"/>
  <c r="R49" i="1"/>
  <c r="N49" i="1" s="1"/>
  <c r="N51" i="1"/>
  <c r="E46" i="1"/>
  <c r="R46" i="1"/>
  <c r="N46" i="1" s="1"/>
  <c r="G43" i="1"/>
  <c r="H43" i="1" s="1"/>
  <c r="R43" i="1"/>
  <c r="N43" i="1" s="1"/>
  <c r="H26" i="1"/>
  <c r="A49" i="1" l="1"/>
  <c r="A52" i="1"/>
  <c r="B52" i="1"/>
  <c r="B49" i="1"/>
  <c r="G51" i="1"/>
  <c r="G54" i="1" s="1"/>
  <c r="G55" i="1" s="1"/>
  <c r="H55" i="1" s="1"/>
  <c r="G49" i="1"/>
  <c r="H49" i="1" s="1"/>
  <c r="L51" i="1"/>
  <c r="L49" i="1"/>
  <c r="N54" i="1"/>
  <c r="R55" i="1" s="1"/>
  <c r="N55" i="1" s="1"/>
  <c r="R52" i="1"/>
  <c r="N52" i="1" s="1"/>
  <c r="E52" i="1"/>
  <c r="E54" i="1"/>
  <c r="E55" i="1" s="1"/>
  <c r="H54" i="1"/>
  <c r="L43" i="1"/>
  <c r="A43" i="1"/>
  <c r="B43" i="1"/>
  <c r="G52" i="1" l="1"/>
  <c r="H52" i="1" s="1"/>
  <c r="L52" i="1"/>
  <c r="L54" i="1"/>
  <c r="L55" i="1" s="1"/>
  <c r="AG27" i="1" l="1"/>
  <c r="AH26" i="1" l="1"/>
  <c r="AF26" i="1"/>
  <c r="AH27" i="1"/>
  <c r="AH29" i="1" s="1"/>
  <c r="AG31" i="1"/>
  <c r="V35" i="1"/>
  <c r="V32" i="1"/>
  <c r="V38" i="1"/>
  <c r="V29" i="1"/>
  <c r="V26" i="1"/>
  <c r="AH31" i="1" l="1"/>
  <c r="AH34" i="1" s="1"/>
  <c r="AH35" i="1" s="1"/>
  <c r="AG34" i="1"/>
  <c r="AF32" i="1"/>
  <c r="AF29" i="1"/>
  <c r="AD7" i="1"/>
  <c r="AE7" i="1"/>
  <c r="AE8" i="1"/>
  <c r="AE9" i="1" s="1"/>
  <c r="AD8" i="1"/>
  <c r="AD10" i="1" s="1"/>
  <c r="H38" i="1"/>
  <c r="H35" i="1"/>
  <c r="H32" i="1"/>
  <c r="H29" i="1"/>
  <c r="U28" i="1"/>
  <c r="U29" i="1" s="1"/>
  <c r="S28" i="1"/>
  <c r="S29" i="1" s="1"/>
  <c r="Y29" i="1" s="1"/>
  <c r="P28" i="1"/>
  <c r="P31" i="1" s="1"/>
  <c r="N28" i="1"/>
  <c r="M29" i="1" s="1"/>
  <c r="L28" i="1"/>
  <c r="J28" i="1"/>
  <c r="I29" i="1" s="1"/>
  <c r="G28" i="1"/>
  <c r="G31" i="1" s="1"/>
  <c r="E28" i="1"/>
  <c r="E31" i="1" s="1"/>
  <c r="B28" i="1"/>
  <c r="A29" i="1" s="1"/>
  <c r="U26" i="1"/>
  <c r="S26" i="1"/>
  <c r="O26" i="1"/>
  <c r="M26" i="1"/>
  <c r="K26" i="1"/>
  <c r="F26" i="1"/>
  <c r="D26" i="1"/>
  <c r="A26" i="1"/>
  <c r="AH32" i="1" l="1"/>
  <c r="L31" i="1"/>
  <c r="K32" i="1" s="1"/>
  <c r="K29" i="1"/>
  <c r="AH36" i="1"/>
  <c r="AH38" i="1" s="1"/>
  <c r="AB29" i="1"/>
  <c r="AC29" i="1" s="1"/>
  <c r="AB26" i="1"/>
  <c r="AC26" i="1" s="1"/>
  <c r="Y26" i="1"/>
  <c r="AF35" i="1"/>
  <c r="AG36" i="1"/>
  <c r="AF38" i="1" s="1"/>
  <c r="AD11" i="1"/>
  <c r="AD12" i="1"/>
  <c r="J31" i="1"/>
  <c r="I32" i="1" s="1"/>
  <c r="AE10" i="1"/>
  <c r="AD9" i="1"/>
  <c r="B31" i="1"/>
  <c r="A32" i="1" s="1"/>
  <c r="U31" i="1"/>
  <c r="U32" i="1" s="1"/>
  <c r="S31" i="1"/>
  <c r="S34" i="1" s="1"/>
  <c r="S37" i="1" s="1"/>
  <c r="S38" i="1" s="1"/>
  <c r="O32" i="1"/>
  <c r="P34" i="1"/>
  <c r="F32" i="1"/>
  <c r="G34" i="1"/>
  <c r="D32" i="1"/>
  <c r="E34" i="1"/>
  <c r="D29" i="1"/>
  <c r="F29" i="1"/>
  <c r="O29" i="1"/>
  <c r="N31" i="1"/>
  <c r="AB38" i="1" l="1"/>
  <c r="AC38" i="1" s="1"/>
  <c r="Y38" i="1"/>
  <c r="L34" i="1"/>
  <c r="K35" i="1" s="1"/>
  <c r="J34" i="1"/>
  <c r="I35" i="1" s="1"/>
  <c r="B34" i="1"/>
  <c r="A35" i="1" s="1"/>
  <c r="S32" i="1"/>
  <c r="AE11" i="1"/>
  <c r="AE12" i="1"/>
  <c r="AD13" i="1"/>
  <c r="AD14" i="1"/>
  <c r="S35" i="1"/>
  <c r="U34" i="1"/>
  <c r="U37" i="1" s="1"/>
  <c r="U38" i="1" s="1"/>
  <c r="N34" i="1"/>
  <c r="M32" i="1"/>
  <c r="D35" i="1"/>
  <c r="E37" i="1"/>
  <c r="D38" i="1" s="1"/>
  <c r="F35" i="1"/>
  <c r="G37" i="1"/>
  <c r="F38" i="1" s="1"/>
  <c r="L37" i="1"/>
  <c r="K38" i="1" s="1"/>
  <c r="O35" i="1"/>
  <c r="P37" i="1"/>
  <c r="O38" i="1" s="1"/>
  <c r="B37" i="1" l="1"/>
  <c r="A38" i="1" s="1"/>
  <c r="AB35" i="1"/>
  <c r="AC35" i="1" s="1"/>
  <c r="Y35" i="1"/>
  <c r="AB32" i="1"/>
  <c r="AC32" i="1" s="1"/>
  <c r="Y32" i="1"/>
  <c r="J37" i="1"/>
  <c r="I38" i="1" s="1"/>
  <c r="AD15" i="1"/>
  <c r="AD16" i="1"/>
  <c r="AE13" i="1"/>
  <c r="AE14" i="1"/>
  <c r="U35" i="1"/>
  <c r="M35" i="1"/>
  <c r="N37" i="1"/>
  <c r="M38" i="1" s="1"/>
  <c r="AE16" i="1" l="1"/>
  <c r="AE15" i="1"/>
  <c r="AD18" i="1"/>
  <c r="AD19" i="1" s="1"/>
  <c r="AD17" i="1"/>
  <c r="AE17" i="1" l="1"/>
  <c r="AE18" i="1"/>
  <c r="AE19" i="1" s="1"/>
  <c r="J18" i="1" l="1"/>
  <c r="I18" i="1"/>
  <c r="H18" i="1"/>
  <c r="G18" i="1"/>
  <c r="E18" i="1"/>
  <c r="C18" i="1"/>
  <c r="P16" i="1"/>
  <c r="E19" i="1" l="1"/>
  <c r="D19" i="1"/>
  <c r="G19" i="1"/>
  <c r="C19" i="1"/>
  <c r="F19" i="1"/>
  <c r="B19" i="1"/>
  <c r="A18" i="1"/>
  <c r="B18" i="1"/>
  <c r="A19" i="1" s="1"/>
  <c r="H11" i="1"/>
  <c r="I15" i="1" s="1"/>
  <c r="L4" i="1" l="1"/>
</calcChain>
</file>

<file path=xl/sharedStrings.xml><?xml version="1.0" encoding="utf-8"?>
<sst xmlns="http://schemas.openxmlformats.org/spreadsheetml/2006/main" count="152" uniqueCount="122">
  <si>
    <t>N° dossier</t>
  </si>
  <si>
    <t>Nom</t>
  </si>
  <si>
    <t>Prénom</t>
  </si>
  <si>
    <t>Adresse 1</t>
  </si>
  <si>
    <t>C Postal</t>
  </si>
  <si>
    <t>Commune</t>
  </si>
  <si>
    <t>Mail</t>
  </si>
  <si>
    <t>Tél 1</t>
  </si>
  <si>
    <t>Mobile</t>
  </si>
  <si>
    <t>Fax</t>
  </si>
  <si>
    <t>Tél 2</t>
  </si>
  <si>
    <t>Type</t>
  </si>
  <si>
    <t>Date ouv</t>
  </si>
  <si>
    <t>Date clot</t>
  </si>
  <si>
    <t>Intracomm</t>
  </si>
  <si>
    <t>NIC</t>
  </si>
  <si>
    <t>Recette</t>
  </si>
  <si>
    <t>Clé</t>
  </si>
  <si>
    <t>Pacage</t>
  </si>
  <si>
    <t>EDE 1</t>
  </si>
  <si>
    <t>EDE 2</t>
  </si>
  <si>
    <t>MdP TéléPAC</t>
  </si>
  <si>
    <t>Code TéléPAC</t>
  </si>
  <si>
    <t>IBAN</t>
  </si>
  <si>
    <t>KM</t>
  </si>
  <si>
    <t>TVA</t>
  </si>
  <si>
    <t>Guy</t>
  </si>
  <si>
    <t>Téléphone</t>
  </si>
  <si>
    <t>Siret</t>
  </si>
  <si>
    <t>Siren</t>
  </si>
  <si>
    <t>Dossier</t>
  </si>
  <si>
    <t>FRP</t>
  </si>
  <si>
    <t>Mdp</t>
  </si>
  <si>
    <t>BQ1-RIB 1</t>
  </si>
  <si>
    <t>BQ1-RIB 2</t>
  </si>
  <si>
    <t>BQ1-RIB 3</t>
  </si>
  <si>
    <t>BQ1-RIB 4</t>
  </si>
  <si>
    <t>BQ1-BIC 1</t>
  </si>
  <si>
    <t>BQ1-BIC 2</t>
  </si>
  <si>
    <t>BQ1-BIC 3</t>
  </si>
  <si>
    <t>BQ1-BIC 4</t>
  </si>
  <si>
    <t>BQ2-RIB 1</t>
  </si>
  <si>
    <t>BQ2-RIB 2</t>
  </si>
  <si>
    <t>BQ2-RIB 3</t>
  </si>
  <si>
    <t>BQ2-RIB 4</t>
  </si>
  <si>
    <t>BQ2-BIC 1</t>
  </si>
  <si>
    <t>BQ2-BIC 2</t>
  </si>
  <si>
    <t>BQ2-BIC 3</t>
  </si>
  <si>
    <t>BQ2-BIC 4</t>
  </si>
  <si>
    <t>Nom-Prénom</t>
  </si>
  <si>
    <t>Tél. 1</t>
  </si>
  <si>
    <t>Tél. 2</t>
  </si>
  <si>
    <t>N° fiscal Vous</t>
  </si>
  <si>
    <t>N° fiscal conjoint</t>
  </si>
  <si>
    <t>N° FIP</t>
  </si>
  <si>
    <t>N° MSA</t>
  </si>
  <si>
    <t>Clé MSA</t>
  </si>
  <si>
    <t>Mot de Passe</t>
  </si>
  <si>
    <t>Partenaire</t>
  </si>
  <si>
    <t>Numéro</t>
  </si>
  <si>
    <t>Idt</t>
  </si>
  <si>
    <t>MdP</t>
  </si>
  <si>
    <t>Mail 1</t>
  </si>
  <si>
    <t>Interlocut.</t>
  </si>
  <si>
    <t>Mot passe</t>
  </si>
  <si>
    <t>Mot Passe</t>
  </si>
  <si>
    <t>Dept</t>
  </si>
  <si>
    <t>Date naissance</t>
  </si>
  <si>
    <t>Nom-Prénom conjoint</t>
  </si>
  <si>
    <t>Type union</t>
  </si>
  <si>
    <t>MdP Télépac OK</t>
  </si>
  <si>
    <t>Régime BA</t>
  </si>
  <si>
    <t>Régime TVA</t>
  </si>
  <si>
    <t>A/MT</t>
  </si>
  <si>
    <t>Mode enreg</t>
  </si>
  <si>
    <t>BQ1-RCP</t>
  </si>
  <si>
    <t>BQ2-RCP</t>
  </si>
  <si>
    <t>N</t>
  </si>
  <si>
    <t>BQ1-DGI</t>
  </si>
  <si>
    <t>BQ2-DGI</t>
  </si>
  <si>
    <t>BQ1-PAC</t>
  </si>
  <si>
    <t>BQ2-PAC</t>
  </si>
  <si>
    <t>Nom Comm</t>
  </si>
  <si>
    <t>Caisse</t>
  </si>
  <si>
    <t>Enregistrement</t>
  </si>
  <si>
    <t>Salariés</t>
  </si>
  <si>
    <t>Mémo</t>
  </si>
  <si>
    <t>Etat</t>
  </si>
  <si>
    <t>.</t>
  </si>
  <si>
    <t>Spécificité 1</t>
  </si>
  <si>
    <t>Spécificité 2</t>
  </si>
  <si>
    <t>Spécificité 3</t>
  </si>
  <si>
    <t>Spécificité 4</t>
  </si>
  <si>
    <t>Visa</t>
  </si>
  <si>
    <t>Tva Ann.</t>
  </si>
  <si>
    <t>Tva Trim</t>
  </si>
  <si>
    <t>F</t>
  </si>
  <si>
    <t>à F</t>
  </si>
  <si>
    <t>Date DRP</t>
  </si>
  <si>
    <t>Date 2042</t>
  </si>
  <si>
    <t>Liasse</t>
  </si>
  <si>
    <t>Saisie</t>
  </si>
  <si>
    <t>N+1</t>
  </si>
  <si>
    <t>Tr 1</t>
  </si>
  <si>
    <t>Tr 2</t>
  </si>
  <si>
    <t>Tr 3</t>
  </si>
  <si>
    <t>Tr 4</t>
  </si>
  <si>
    <t>Tél. 2 / Mobile 2</t>
  </si>
  <si>
    <t>PB Paiement 2° trim 2018</t>
  </si>
  <si>
    <t>Correction TVA 3-2018 1 -2019</t>
  </si>
  <si>
    <t>Hychinel</t>
  </si>
  <si>
    <t>Paul</t>
  </si>
  <si>
    <t>La Zone</t>
  </si>
  <si>
    <t>Champs sur Index</t>
  </si>
  <si>
    <t>Niaulle</t>
  </si>
  <si>
    <t>Les Cellules</t>
  </si>
  <si>
    <t>Index sur Champs</t>
  </si>
  <si>
    <t>Faudrait que j'aille le voir sans tarder</t>
  </si>
  <si>
    <t>Sinon gare à l'enguelade</t>
  </si>
  <si>
    <t>Je n'irais plus</t>
  </si>
  <si>
    <t>Je me suis déjà fait engueuler</t>
  </si>
  <si>
    <t>14/05/208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</si>
</sst>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0000"/>
    <numFmt numFmtId="165" formatCode="dd/mm/yy;@"/>
    <numFmt numFmtId="166" formatCode="0000000"/>
    <numFmt numFmtId="167" formatCode="000000000"/>
    <numFmt numFmtId="168" formatCode="00000000000"/>
    <numFmt numFmtId="169" formatCode="[&gt;=3000000000000]#&quot; &quot;##&quot; &quot;##&quot; &quot;##&quot; &quot;###&quot; &quot;###&quot; | &quot;##;#&quot; &quot;##&quot; &quot;##&quot; &quot;##&quot; &quot;###&quot; &quot;###"/>
    <numFmt numFmtId="170" formatCode="0000000000000"/>
    <numFmt numFmtId="171" formatCode="00000000000000000"/>
    <numFmt numFmtId="172" formatCode="000000000000000"/>
  </numFmts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8"/>
      <color theme="9" tint="0.39997558519241921"/>
      <name val="Calibri"/>
      <family val="2"/>
      <scheme val="minor"/>
    </font>
    <font>
      <sz val="11"/>
      <name val="Calibri"/>
      <family val="2"/>
    </font>
    <font>
      <sz val="22"/>
      <color theme="4" tint="-0.249977111117893"/>
      <name val="Arial Black"/>
      <family val="2"/>
    </font>
    <font>
      <sz val="14"/>
      <color theme="4" tint="-0.249977111117893"/>
      <name val="Arial Black"/>
      <family val="2"/>
    </font>
    <font>
      <sz val="11"/>
      <color theme="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1"/>
      <color theme="3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FF9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00CC66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65">
    <border>
      <left/>
      <right/>
      <top/>
      <bottom/>
      <diagonal/>
    </border>
    <border>
      <left style="medium">
        <color theme="6" tint="-0.249977111117893"/>
      </left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 style="medium">
        <color theme="6" tint="-0.249977111117893"/>
      </left>
      <right/>
      <top/>
      <bottom/>
      <diagonal/>
    </border>
    <border>
      <left/>
      <right style="medium">
        <color theme="6" tint="-0.249977111117893"/>
      </right>
      <top/>
      <bottom/>
      <diagonal/>
    </border>
    <border>
      <left style="medium">
        <color theme="6" tint="-0.249977111117893"/>
      </left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 style="medium">
        <color theme="6" tint="-0.249977111117893"/>
      </bottom>
      <diagonal/>
    </border>
    <border>
      <left/>
      <right/>
      <top style="medium">
        <color theme="6" tint="-0.249977111117893"/>
      </top>
      <bottom/>
      <diagonal/>
    </border>
    <border>
      <left/>
      <right/>
      <top/>
      <bottom style="medium">
        <color theme="6" tint="-0.249977111117893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rgb="FFFFFF00"/>
      </left>
      <right/>
      <top style="medium">
        <color rgb="FFFFFF00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/>
      <top/>
      <bottom/>
      <diagonal/>
    </border>
    <border>
      <left/>
      <right style="medium">
        <color rgb="FFFFFF00"/>
      </right>
      <top/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/>
      <right/>
      <top/>
      <bottom style="medium">
        <color rgb="FFFFFF00"/>
      </bottom>
      <diagonal/>
    </border>
    <border>
      <left/>
      <right style="medium">
        <color rgb="FFFFFF00"/>
      </right>
      <top/>
      <bottom style="medium">
        <color rgb="FFFFFF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FFFF99"/>
      </left>
      <right/>
      <top/>
      <bottom/>
      <diagonal/>
    </border>
    <border>
      <left/>
      <right/>
      <top style="medium">
        <color theme="4"/>
      </top>
      <bottom style="medium">
        <color theme="9" tint="-0.249977111117893"/>
      </bottom>
      <diagonal/>
    </border>
    <border>
      <left style="medium">
        <color theme="9" tint="-0.249977111117893"/>
      </left>
      <right style="thin">
        <color rgb="FFFFFF99"/>
      </right>
      <top/>
      <bottom/>
      <diagonal/>
    </border>
    <border>
      <left/>
      <right/>
      <top style="medium">
        <color theme="9" tint="-0.249977111117893"/>
      </top>
      <bottom style="medium">
        <color rgb="FFFFFF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5" fillId="0" borderId="0"/>
  </cellStyleXfs>
  <cellXfs count="267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0" fillId="9" borderId="0" xfId="0" applyFill="1" applyProtection="1">
      <protection hidden="1"/>
    </xf>
    <xf numFmtId="0" fontId="0" fillId="4" borderId="0" xfId="0" applyFill="1" applyProtection="1">
      <protection hidden="1"/>
    </xf>
    <xf numFmtId="164" fontId="2" fillId="4" borderId="0" xfId="0" applyNumberFormat="1" applyFont="1" applyFill="1" applyAlignment="1" applyProtection="1">
      <alignment horizontal="center"/>
      <protection hidden="1"/>
    </xf>
    <xf numFmtId="0" fontId="4" fillId="7" borderId="0" xfId="1" applyFont="1" applyFill="1" applyBorder="1" applyAlignment="1" applyProtection="1">
      <alignment horizontal="center" vertical="center"/>
      <protection hidden="1"/>
    </xf>
    <xf numFmtId="0" fontId="1" fillId="0" borderId="0" xfId="1" applyAlignment="1" applyProtection="1"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0" fillId="7" borderId="0" xfId="0" applyFill="1" applyAlignment="1" applyProtection="1">
      <alignment horizontal="center"/>
      <protection hidden="1"/>
    </xf>
    <xf numFmtId="0" fontId="0" fillId="10" borderId="0" xfId="0" applyFill="1" applyProtection="1">
      <protection hidden="1"/>
    </xf>
    <xf numFmtId="1" fontId="0" fillId="0" borderId="0" xfId="0" applyNumberFormat="1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7" borderId="0" xfId="0" applyFill="1" applyProtection="1">
      <protection hidden="1"/>
    </xf>
    <xf numFmtId="0" fontId="0" fillId="6" borderId="0" xfId="0" applyFill="1" applyBorder="1" applyProtection="1">
      <protection hidden="1"/>
    </xf>
    <xf numFmtId="0" fontId="0" fillId="6" borderId="0" xfId="0" applyFill="1" applyBorder="1" applyAlignment="1" applyProtection="1">
      <alignment horizontal="center"/>
      <protection hidden="1"/>
    </xf>
    <xf numFmtId="0" fontId="2" fillId="6" borderId="17" xfId="0" applyFont="1" applyFill="1" applyBorder="1" applyProtection="1">
      <protection hidden="1"/>
    </xf>
    <xf numFmtId="0" fontId="2" fillId="6" borderId="18" xfId="0" applyFont="1" applyFill="1" applyBorder="1" applyAlignment="1" applyProtection="1">
      <alignment horizontal="right"/>
      <protection hidden="1"/>
    </xf>
    <xf numFmtId="0" fontId="2" fillId="6" borderId="18" xfId="0" applyFont="1" applyFill="1" applyBorder="1" applyAlignment="1" applyProtection="1">
      <alignment horizontal="center"/>
      <protection hidden="1"/>
    </xf>
    <xf numFmtId="164" fontId="2" fillId="6" borderId="18" xfId="0" applyNumberFormat="1" applyFont="1" applyFill="1" applyBorder="1" applyAlignment="1" applyProtection="1">
      <alignment horizontal="center"/>
      <protection hidden="1"/>
    </xf>
    <xf numFmtId="0" fontId="2" fillId="6" borderId="22" xfId="0" applyFont="1" applyFill="1" applyBorder="1" applyAlignment="1" applyProtection="1">
      <alignment horizontal="center"/>
      <protection hidden="1"/>
    </xf>
    <xf numFmtId="0" fontId="0" fillId="11" borderId="24" xfId="0" applyFill="1" applyBorder="1" applyProtection="1">
      <protection hidden="1"/>
    </xf>
    <xf numFmtId="0" fontId="0" fillId="11" borderId="25" xfId="0" applyFill="1" applyBorder="1" applyProtection="1">
      <protection hidden="1"/>
    </xf>
    <xf numFmtId="0" fontId="0" fillId="11" borderId="26" xfId="0" applyFill="1" applyBorder="1" applyAlignment="1" applyProtection="1">
      <alignment horizontal="center"/>
      <protection hidden="1"/>
    </xf>
    <xf numFmtId="0" fontId="0" fillId="11" borderId="0" xfId="0" applyFill="1" applyBorder="1" applyAlignment="1" applyProtection="1">
      <alignment horizontal="center"/>
      <protection hidden="1"/>
    </xf>
    <xf numFmtId="0" fontId="0" fillId="11" borderId="0" xfId="0" applyFill="1" applyBorder="1" applyProtection="1">
      <protection hidden="1"/>
    </xf>
    <xf numFmtId="0" fontId="0" fillId="11" borderId="27" xfId="0" applyFill="1" applyBorder="1" applyProtection="1">
      <protection hidden="1"/>
    </xf>
    <xf numFmtId="0" fontId="0" fillId="11" borderId="26" xfId="0" applyFill="1" applyBorder="1" applyProtection="1">
      <protection hidden="1"/>
    </xf>
    <xf numFmtId="1" fontId="2" fillId="11" borderId="0" xfId="0" applyNumberFormat="1" applyFont="1" applyFill="1" applyBorder="1" applyAlignment="1" applyProtection="1">
      <protection hidden="1"/>
    </xf>
    <xf numFmtId="1" fontId="2" fillId="11" borderId="27" xfId="0" applyNumberFormat="1" applyFont="1" applyFill="1" applyBorder="1" applyAlignment="1" applyProtection="1">
      <protection hidden="1"/>
    </xf>
    <xf numFmtId="1" fontId="2" fillId="11" borderId="29" xfId="0" applyNumberFormat="1" applyFont="1" applyFill="1" applyBorder="1" applyAlignment="1" applyProtection="1">
      <protection hidden="1"/>
    </xf>
    <xf numFmtId="1" fontId="2" fillId="11" borderId="30" xfId="0" applyNumberFormat="1" applyFont="1" applyFill="1" applyBorder="1" applyAlignment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Alignment="1" applyProtection="1">
      <protection hidden="1"/>
    </xf>
    <xf numFmtId="0" fontId="0" fillId="0" borderId="0" xfId="0" applyBorder="1" applyProtection="1">
      <protection hidden="1"/>
    </xf>
    <xf numFmtId="0" fontId="1" fillId="0" borderId="0" xfId="1" applyBorder="1" applyAlignment="1" applyProtection="1">
      <alignment horizontal="center"/>
      <protection hidden="1"/>
    </xf>
    <xf numFmtId="1" fontId="0" fillId="0" borderId="0" xfId="0" applyNumberFormat="1" applyBorder="1" applyAlignment="1" applyProtection="1">
      <alignment horizontal="center"/>
      <protection hidden="1"/>
    </xf>
    <xf numFmtId="0" fontId="1" fillId="5" borderId="0" xfId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vertical="center"/>
      <protection hidden="1"/>
    </xf>
    <xf numFmtId="0" fontId="8" fillId="0" borderId="0" xfId="0" applyFont="1" applyAlignment="1" applyProtection="1">
      <protection hidden="1"/>
    </xf>
    <xf numFmtId="0" fontId="0" fillId="12" borderId="31" xfId="0" applyFill="1" applyBorder="1" applyProtection="1">
      <protection hidden="1"/>
    </xf>
    <xf numFmtId="0" fontId="0" fillId="12" borderId="32" xfId="0" applyFill="1" applyBorder="1" applyProtection="1">
      <protection hidden="1"/>
    </xf>
    <xf numFmtId="0" fontId="0" fillId="0" borderId="34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12" borderId="34" xfId="0" applyFill="1" applyBorder="1" applyProtection="1">
      <protection hidden="1"/>
    </xf>
    <xf numFmtId="1" fontId="0" fillId="12" borderId="0" xfId="0" applyNumberFormat="1" applyFill="1" applyBorder="1" applyAlignment="1" applyProtection="1">
      <alignment horizontal="center"/>
      <protection hidden="1"/>
    </xf>
    <xf numFmtId="0" fontId="0" fillId="0" borderId="35" xfId="0" applyBorder="1" applyProtection="1">
      <protection hidden="1"/>
    </xf>
    <xf numFmtId="0" fontId="0" fillId="12" borderId="36" xfId="0" applyFill="1" applyBorder="1" applyProtection="1">
      <protection hidden="1"/>
    </xf>
    <xf numFmtId="1" fontId="0" fillId="12" borderId="37" xfId="0" applyNumberFormat="1" applyFill="1" applyBorder="1" applyAlignment="1" applyProtection="1">
      <alignment horizontal="center"/>
      <protection hidden="1"/>
    </xf>
    <xf numFmtId="0" fontId="0" fillId="5" borderId="40" xfId="0" applyFill="1" applyBorder="1" applyAlignment="1" applyProtection="1"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0" fillId="0" borderId="42" xfId="0" applyBorder="1" applyProtection="1">
      <protection hidden="1"/>
    </xf>
    <xf numFmtId="0" fontId="0" fillId="0" borderId="43" xfId="0" applyBorder="1" applyProtection="1">
      <protection hidden="1"/>
    </xf>
    <xf numFmtId="0" fontId="0" fillId="0" borderId="42" xfId="0" applyBorder="1" applyAlignment="1" applyProtection="1">
      <protection hidden="1"/>
    </xf>
    <xf numFmtId="1" fontId="0" fillId="0" borderId="43" xfId="0" applyNumberFormat="1" applyBorder="1" applyAlignment="1" applyProtection="1">
      <alignment horizontal="center"/>
      <protection hidden="1"/>
    </xf>
    <xf numFmtId="0" fontId="1" fillId="5" borderId="45" xfId="1" applyFont="1" applyFill="1" applyBorder="1" applyAlignment="1" applyProtection="1">
      <alignment horizontal="center"/>
      <protection hidden="1"/>
    </xf>
    <xf numFmtId="1" fontId="0" fillId="9" borderId="0" xfId="0" applyNumberFormat="1" applyFill="1" applyBorder="1" applyAlignment="1" applyProtection="1">
      <alignment horizontal="center"/>
      <protection hidden="1"/>
    </xf>
    <xf numFmtId="0" fontId="3" fillId="7" borderId="0" xfId="0" applyFont="1" applyFill="1" applyAlignment="1" applyProtection="1">
      <alignment vertical="center"/>
      <protection hidden="1"/>
    </xf>
    <xf numFmtId="0" fontId="3" fillId="7" borderId="0" xfId="0" applyFont="1" applyFill="1" applyBorder="1" applyAlignment="1" applyProtection="1">
      <alignment vertical="center"/>
      <protection hidden="1"/>
    </xf>
    <xf numFmtId="0" fontId="12" fillId="5" borderId="0" xfId="1" applyFont="1" applyFill="1" applyBorder="1" applyAlignment="1" applyProtection="1">
      <alignment horizontal="center"/>
      <protection hidden="1"/>
    </xf>
    <xf numFmtId="0" fontId="1" fillId="7" borderId="0" xfId="1" applyFill="1" applyBorder="1" applyAlignment="1" applyProtection="1">
      <alignment horizontal="center"/>
      <protection hidden="1"/>
    </xf>
    <xf numFmtId="0" fontId="0" fillId="12" borderId="32" xfId="0" applyFill="1" applyBorder="1" applyAlignment="1" applyProtection="1">
      <alignment horizontal="center"/>
      <protection hidden="1"/>
    </xf>
    <xf numFmtId="0" fontId="0" fillId="0" borderId="0" xfId="0" applyAlignment="1">
      <alignment horizontal="right"/>
    </xf>
    <xf numFmtId="0" fontId="0" fillId="0" borderId="0" xfId="0" applyAlignment="1"/>
    <xf numFmtId="0" fontId="0" fillId="8" borderId="0" xfId="0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7" borderId="0" xfId="0" applyFill="1" applyBorder="1" applyAlignment="1" applyProtection="1">
      <alignment horizontal="center"/>
      <protection hidden="1"/>
    </xf>
    <xf numFmtId="0" fontId="0" fillId="7" borderId="0" xfId="0" applyFill="1" applyBorder="1" applyProtection="1">
      <protection hidden="1"/>
    </xf>
    <xf numFmtId="1" fontId="14" fillId="5" borderId="0" xfId="0" applyNumberFormat="1" applyFont="1" applyFill="1" applyBorder="1" applyAlignment="1" applyProtection="1">
      <alignment horizontal="center" vertical="center"/>
      <protection hidden="1"/>
    </xf>
    <xf numFmtId="0" fontId="14" fillId="5" borderId="0" xfId="0" applyFont="1" applyFill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Protection="1">
      <protection hidden="1"/>
    </xf>
    <xf numFmtId="1" fontId="2" fillId="0" borderId="0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1" fontId="15" fillId="11" borderId="0" xfId="0" applyNumberFormat="1" applyFont="1" applyFill="1" applyBorder="1" applyAlignment="1" applyProtection="1">
      <alignment horizontal="center"/>
      <protection hidden="1"/>
    </xf>
    <xf numFmtId="0" fontId="15" fillId="11" borderId="0" xfId="0" applyFont="1" applyFill="1" applyBorder="1" applyProtection="1">
      <protection hidden="1"/>
    </xf>
    <xf numFmtId="0" fontId="15" fillId="11" borderId="0" xfId="0" applyFont="1" applyFill="1" applyBorder="1" applyAlignment="1" applyProtection="1">
      <alignment horizontal="center"/>
      <protection hidden="1"/>
    </xf>
    <xf numFmtId="1" fontId="0" fillId="7" borderId="26" xfId="0" applyNumberFormat="1" applyFill="1" applyBorder="1" applyAlignment="1" applyProtection="1">
      <alignment horizontal="center"/>
      <protection hidden="1"/>
    </xf>
    <xf numFmtId="1" fontId="0" fillId="7" borderId="0" xfId="0" applyNumberFormat="1" applyFill="1" applyBorder="1" applyAlignment="1" applyProtection="1">
      <protection hidden="1"/>
    </xf>
    <xf numFmtId="0" fontId="0" fillId="7" borderId="27" xfId="0" applyFill="1" applyBorder="1" applyProtection="1">
      <protection hidden="1"/>
    </xf>
    <xf numFmtId="0" fontId="15" fillId="7" borderId="0" xfId="0" applyFont="1" applyFill="1" applyBorder="1" applyAlignment="1" applyProtection="1">
      <alignment horizontal="center"/>
      <protection hidden="1"/>
    </xf>
    <xf numFmtId="0" fontId="0" fillId="7" borderId="26" xfId="0" applyFill="1" applyBorder="1" applyProtection="1">
      <protection hidden="1"/>
    </xf>
    <xf numFmtId="0" fontId="0" fillId="9" borderId="54" xfId="0" applyFill="1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57" xfId="0" applyBorder="1" applyAlignment="1" applyProtection="1">
      <protection hidden="1"/>
    </xf>
    <xf numFmtId="1" fontId="0" fillId="9" borderId="59" xfId="0" applyNumberFormat="1" applyFill="1" applyBorder="1" applyAlignment="1" applyProtection="1">
      <alignment horizontal="center"/>
      <protection hidden="1"/>
    </xf>
    <xf numFmtId="0" fontId="8" fillId="7" borderId="0" xfId="0" applyFont="1" applyFill="1" applyBorder="1" applyProtection="1">
      <protection hidden="1"/>
    </xf>
    <xf numFmtId="0" fontId="16" fillId="7" borderId="0" xfId="0" applyFont="1" applyFill="1" applyBorder="1" applyAlignment="1" applyProtection="1">
      <protection hidden="1"/>
    </xf>
    <xf numFmtId="0" fontId="8" fillId="7" borderId="0" xfId="0" applyFont="1" applyFill="1" applyBorder="1" applyAlignment="1" applyProtection="1">
      <protection hidden="1"/>
    </xf>
    <xf numFmtId="0" fontId="0" fillId="0" borderId="0" xfId="0" applyAlignment="1" applyProtection="1">
      <alignment horizontal="center"/>
      <protection hidden="1"/>
    </xf>
    <xf numFmtId="167" fontId="2" fillId="7" borderId="0" xfId="0" applyNumberFormat="1" applyFont="1" applyFill="1" applyBorder="1" applyAlignment="1" applyProtection="1">
      <protection hidden="1"/>
    </xf>
    <xf numFmtId="0" fontId="16" fillId="0" borderId="0" xfId="0" applyFont="1" applyAlignment="1" applyProtection="1">
      <alignment horizontal="left"/>
      <protection hidden="1"/>
    </xf>
    <xf numFmtId="0" fontId="13" fillId="0" borderId="0" xfId="0" applyFont="1" applyAlignment="1">
      <alignment horizontal="left"/>
    </xf>
    <xf numFmtId="0" fontId="8" fillId="0" borderId="0" xfId="0" applyFont="1" applyAlignment="1" applyProtection="1">
      <alignment horizontal="right"/>
      <protection hidden="1"/>
    </xf>
    <xf numFmtId="167" fontId="2" fillId="7" borderId="12" xfId="0" applyNumberFormat="1" applyFont="1" applyFill="1" applyBorder="1" applyAlignment="1" applyProtection="1">
      <protection hidden="1"/>
    </xf>
    <xf numFmtId="0" fontId="17" fillId="11" borderId="0" xfId="0" applyFont="1" applyFill="1" applyAlignment="1" applyProtection="1">
      <alignment horizontal="center"/>
      <protection hidden="1"/>
    </xf>
    <xf numFmtId="0" fontId="2" fillId="11" borderId="0" xfId="0" applyFont="1" applyFill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6" borderId="18" xfId="0" applyFont="1" applyFill="1" applyBorder="1" applyAlignment="1" applyProtection="1">
      <alignment horizontal="center"/>
      <protection hidden="1"/>
    </xf>
    <xf numFmtId="0" fontId="3" fillId="6" borderId="22" xfId="0" applyFont="1" applyFill="1" applyBorder="1" applyAlignment="1" applyProtection="1">
      <alignment horizontal="center"/>
      <protection hidden="1"/>
    </xf>
    <xf numFmtId="0" fontId="0" fillId="14" borderId="0" xfId="0" applyFill="1" applyBorder="1" applyAlignment="1" applyProtection="1">
      <alignment horizontal="center"/>
      <protection hidden="1"/>
    </xf>
    <xf numFmtId="166" fontId="0" fillId="14" borderId="7" xfId="0" applyNumberFormat="1" applyFill="1" applyBorder="1" applyAlignment="1" applyProtection="1">
      <alignment horizontal="center"/>
      <protection hidden="1"/>
    </xf>
    <xf numFmtId="166" fontId="0" fillId="14" borderId="2" xfId="0" applyNumberFormat="1" applyFill="1" applyBorder="1" applyAlignment="1" applyProtection="1">
      <alignment horizontal="center"/>
      <protection hidden="1"/>
    </xf>
    <xf numFmtId="0" fontId="0" fillId="14" borderId="4" xfId="0" applyFill="1" applyBorder="1" applyAlignment="1" applyProtection="1">
      <alignment horizontal="center"/>
      <protection hidden="1"/>
    </xf>
    <xf numFmtId="0" fontId="0" fillId="14" borderId="3" xfId="0" applyFill="1" applyBorder="1" applyProtection="1">
      <protection hidden="1"/>
    </xf>
    <xf numFmtId="0" fontId="0" fillId="14" borderId="0" xfId="0" applyFill="1" applyBorder="1" applyProtection="1">
      <protection hidden="1"/>
    </xf>
    <xf numFmtId="166" fontId="0" fillId="14" borderId="0" xfId="0" applyNumberFormat="1" applyFill="1" applyBorder="1" applyAlignment="1" applyProtection="1">
      <alignment horizontal="center"/>
      <protection hidden="1"/>
    </xf>
    <xf numFmtId="166" fontId="0" fillId="14" borderId="4" xfId="0" applyNumberFormat="1" applyFill="1" applyBorder="1" applyAlignment="1" applyProtection="1">
      <alignment horizontal="center"/>
      <protection hidden="1"/>
    </xf>
    <xf numFmtId="0" fontId="0" fillId="14" borderId="5" xfId="0" applyFont="1" applyFill="1" applyBorder="1" applyProtection="1">
      <protection hidden="1"/>
    </xf>
    <xf numFmtId="0" fontId="0" fillId="14" borderId="8" xfId="0" applyFont="1" applyFill="1" applyBorder="1" applyProtection="1">
      <protection hidden="1"/>
    </xf>
    <xf numFmtId="172" fontId="2" fillId="14" borderId="8" xfId="0" applyNumberFormat="1" applyFont="1" applyFill="1" applyBorder="1" applyAlignment="1" applyProtection="1">
      <alignment vertical="center"/>
      <protection hidden="1"/>
    </xf>
    <xf numFmtId="0" fontId="0" fillId="4" borderId="0" xfId="0" applyFill="1" applyAlignment="1" applyProtection="1">
      <alignment horizontal="right"/>
      <protection hidden="1"/>
    </xf>
    <xf numFmtId="0" fontId="0" fillId="4" borderId="0" xfId="0" applyFill="1" applyAlignment="1" applyProtection="1">
      <alignment horizontal="center"/>
      <protection hidden="1"/>
    </xf>
    <xf numFmtId="0" fontId="18" fillId="4" borderId="0" xfId="1" applyFont="1" applyFill="1" applyAlignment="1" applyProtection="1">
      <alignment horizontal="left"/>
      <protection hidden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0" fillId="0" borderId="0" xfId="0" applyFont="1" applyAlignment="1" applyProtection="1">
      <alignment horizontal="left"/>
      <protection hidden="1"/>
    </xf>
    <xf numFmtId="0" fontId="0" fillId="4" borderId="0" xfId="0" applyFill="1" applyAlignment="1" applyProtection="1">
      <alignment horizontal="left"/>
      <protection hidden="1"/>
    </xf>
    <xf numFmtId="0" fontId="0" fillId="0" borderId="0" xfId="0" applyAlignment="1">
      <alignment horizontal="center"/>
    </xf>
    <xf numFmtId="0" fontId="0" fillId="15" borderId="0" xfId="0" applyFill="1"/>
    <xf numFmtId="0" fontId="0" fillId="16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15" borderId="0" xfId="0" applyFill="1" applyAlignment="1">
      <alignment horizontal="left"/>
    </xf>
    <xf numFmtId="0" fontId="19" fillId="5" borderId="0" xfId="0" applyFont="1" applyFill="1" applyBorder="1" applyAlignment="1" applyProtection="1">
      <alignment horizontal="center"/>
      <protection hidden="1"/>
    </xf>
    <xf numFmtId="0" fontId="0" fillId="7" borderId="61" xfId="0" applyFill="1" applyBorder="1" applyProtection="1">
      <protection hidden="1"/>
    </xf>
    <xf numFmtId="0" fontId="0" fillId="7" borderId="62" xfId="0" applyFill="1" applyBorder="1" applyProtection="1">
      <protection hidden="1"/>
    </xf>
    <xf numFmtId="0" fontId="0" fillId="7" borderId="19" xfId="0" applyFill="1" applyBorder="1" applyProtection="1">
      <protection hidden="1"/>
    </xf>
    <xf numFmtId="0" fontId="0" fillId="7" borderId="63" xfId="0" applyFill="1" applyBorder="1" applyProtection="1">
      <protection hidden="1"/>
    </xf>
    <xf numFmtId="0" fontId="17" fillId="11" borderId="20" xfId="0" applyFont="1" applyFill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19" fillId="5" borderId="22" xfId="0" applyFont="1" applyFill="1" applyBorder="1" applyAlignment="1" applyProtection="1">
      <alignment horizontal="center"/>
      <protection hidden="1"/>
    </xf>
    <xf numFmtId="0" fontId="18" fillId="4" borderId="0" xfId="1" applyFont="1" applyFill="1" applyAlignment="1" applyProtection="1">
      <alignment horizontal="left"/>
      <protection hidden="1"/>
    </xf>
    <xf numFmtId="0" fontId="0" fillId="4" borderId="0" xfId="0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right"/>
      <protection hidden="1"/>
    </xf>
    <xf numFmtId="0" fontId="2" fillId="6" borderId="0" xfId="0" applyFont="1" applyFill="1" applyBorder="1" applyAlignment="1" applyProtection="1">
      <alignment horizontal="right"/>
      <protection hidden="1"/>
    </xf>
    <xf numFmtId="0" fontId="2" fillId="6" borderId="0" xfId="0" applyFont="1" applyFill="1" applyBorder="1" applyAlignment="1" applyProtection="1">
      <alignment horizontal="center"/>
      <protection hidden="1"/>
    </xf>
    <xf numFmtId="164" fontId="2" fillId="6" borderId="0" xfId="0" applyNumberFormat="1" applyFont="1" applyFill="1" applyBorder="1" applyAlignment="1" applyProtection="1">
      <alignment horizontal="center"/>
      <protection hidden="1"/>
    </xf>
    <xf numFmtId="0" fontId="3" fillId="6" borderId="0" xfId="0" applyFont="1" applyFill="1" applyBorder="1" applyAlignment="1" applyProtection="1">
      <alignment horizontal="center"/>
      <protection hidden="1"/>
    </xf>
    <xf numFmtId="0" fontId="2" fillId="6" borderId="19" xfId="0" applyFont="1" applyFill="1" applyBorder="1" applyProtection="1">
      <protection hidden="1"/>
    </xf>
    <xf numFmtId="0" fontId="20" fillId="6" borderId="19" xfId="0" applyFont="1" applyFill="1" applyBorder="1" applyAlignment="1" applyProtection="1">
      <alignment horizontal="right"/>
      <protection hidden="1"/>
    </xf>
    <xf numFmtId="0" fontId="20" fillId="6" borderId="0" xfId="0" applyFont="1" applyFill="1" applyBorder="1" applyProtection="1">
      <protection hidden="1"/>
    </xf>
    <xf numFmtId="0" fontId="20" fillId="6" borderId="21" xfId="0" applyFont="1" applyFill="1" applyBorder="1" applyAlignment="1" applyProtection="1">
      <alignment horizontal="right"/>
      <protection hidden="1"/>
    </xf>
    <xf numFmtId="0" fontId="20" fillId="6" borderId="22" xfId="0" applyFont="1" applyFill="1" applyBorder="1" applyAlignment="1" applyProtection="1">
      <alignment horizontal="left"/>
      <protection hidden="1"/>
    </xf>
    <xf numFmtId="0" fontId="20" fillId="6" borderId="0" xfId="0" applyFont="1" applyFill="1" applyBorder="1" applyAlignment="1" applyProtection="1">
      <alignment horizontal="center"/>
      <protection hidden="1"/>
    </xf>
    <xf numFmtId="0" fontId="20" fillId="6" borderId="22" xfId="0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 applyProtection="1">
      <alignment horizontal="left"/>
      <protection hidden="1"/>
    </xf>
    <xf numFmtId="0" fontId="0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0" fillId="3" borderId="9" xfId="0" applyFill="1" applyBorder="1" applyAlignment="1" applyProtection="1">
      <alignment horizontal="left" vertical="center"/>
      <protection hidden="1"/>
    </xf>
    <xf numFmtId="0" fontId="0" fillId="3" borderId="12" xfId="0" applyFill="1" applyBorder="1" applyAlignment="1" applyProtection="1">
      <alignment horizontal="left" vertical="center"/>
      <protection hidden="1"/>
    </xf>
    <xf numFmtId="0" fontId="0" fillId="3" borderId="0" xfId="0" applyFill="1" applyBorder="1" applyAlignment="1" applyProtection="1">
      <alignment horizontal="left" vertical="center"/>
      <protection hidden="1"/>
    </xf>
    <xf numFmtId="0" fontId="0" fillId="3" borderId="13" xfId="0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2" fillId="9" borderId="0" xfId="0" applyFont="1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12" borderId="37" xfId="0" applyFill="1" applyBorder="1" applyAlignment="1" applyProtection="1">
      <alignment horizontal="left"/>
      <protection hidden="1"/>
    </xf>
    <xf numFmtId="14" fontId="0" fillId="12" borderId="37" xfId="0" applyNumberFormat="1" applyFill="1" applyBorder="1" applyAlignment="1" applyProtection="1">
      <alignment horizontal="center"/>
      <protection hidden="1"/>
    </xf>
    <xf numFmtId="0" fontId="0" fillId="12" borderId="37" xfId="0" applyFill="1" applyBorder="1" applyAlignment="1" applyProtection="1">
      <alignment horizontal="center"/>
      <protection hidden="1"/>
    </xf>
    <xf numFmtId="0" fontId="1" fillId="12" borderId="37" xfId="1" applyFill="1" applyBorder="1" applyAlignment="1" applyProtection="1">
      <alignment horizontal="center"/>
      <protection hidden="1"/>
    </xf>
    <xf numFmtId="0" fontId="1" fillId="12" borderId="38" xfId="1" applyFill="1" applyBorder="1" applyAlignment="1" applyProtection="1">
      <alignment horizontal="center"/>
      <protection hidden="1"/>
    </xf>
    <xf numFmtId="14" fontId="0" fillId="12" borderId="0" xfId="0" applyNumberFormat="1" applyFill="1" applyBorder="1" applyAlignment="1" applyProtection="1">
      <alignment horizontal="center"/>
      <protection hidden="1"/>
    </xf>
    <xf numFmtId="0" fontId="0" fillId="12" borderId="0" xfId="0" applyFill="1" applyBorder="1" applyAlignment="1" applyProtection="1">
      <alignment horizontal="left"/>
      <protection hidden="1"/>
    </xf>
    <xf numFmtId="0" fontId="0" fillId="12" borderId="0" xfId="0" applyFill="1" applyBorder="1" applyAlignment="1" applyProtection="1">
      <alignment horizontal="center"/>
      <protection hidden="1"/>
    </xf>
    <xf numFmtId="0" fontId="1" fillId="12" borderId="0" xfId="1" applyFill="1" applyBorder="1" applyAlignment="1" applyProtection="1">
      <alignment horizontal="center"/>
      <protection hidden="1"/>
    </xf>
    <xf numFmtId="0" fontId="1" fillId="12" borderId="35" xfId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35" xfId="0" applyBorder="1" applyAlignment="1" applyProtection="1">
      <alignment horizontal="center"/>
      <protection hidden="1"/>
    </xf>
    <xf numFmtId="14" fontId="0" fillId="0" borderId="0" xfId="0" applyNumberFormat="1" applyBorder="1" applyAlignment="1" applyProtection="1">
      <alignment horizontal="center"/>
      <protection hidden="1"/>
    </xf>
    <xf numFmtId="0" fontId="0" fillId="12" borderId="32" xfId="0" applyFill="1" applyBorder="1" applyAlignment="1" applyProtection="1">
      <alignment horizontal="center"/>
      <protection hidden="1"/>
    </xf>
    <xf numFmtId="0" fontId="0" fillId="12" borderId="33" xfId="0" applyFill="1" applyBorder="1" applyAlignment="1" applyProtection="1">
      <alignment horizontal="center"/>
      <protection hidden="1"/>
    </xf>
    <xf numFmtId="0" fontId="2" fillId="5" borderId="42" xfId="0" applyFont="1" applyFill="1" applyBorder="1" applyAlignment="1" applyProtection="1">
      <alignment horizontal="left"/>
      <protection hidden="1"/>
    </xf>
    <xf numFmtId="0" fontId="2" fillId="5" borderId="0" xfId="0" applyFont="1" applyFill="1" applyBorder="1" applyAlignment="1" applyProtection="1">
      <alignment horizontal="left"/>
      <protection hidden="1"/>
    </xf>
    <xf numFmtId="0" fontId="2" fillId="5" borderId="44" xfId="0" applyFont="1" applyFill="1" applyBorder="1" applyAlignment="1" applyProtection="1">
      <alignment horizontal="left"/>
      <protection hidden="1"/>
    </xf>
    <xf numFmtId="0" fontId="2" fillId="5" borderId="45" xfId="0" applyFont="1" applyFill="1" applyBorder="1" applyAlignment="1" applyProtection="1">
      <alignment horizontal="left"/>
      <protection hidden="1"/>
    </xf>
    <xf numFmtId="169" fontId="2" fillId="11" borderId="26" xfId="0" applyNumberFormat="1" applyFont="1" applyFill="1" applyBorder="1" applyAlignment="1" applyProtection="1">
      <alignment horizontal="center"/>
      <protection hidden="1"/>
    </xf>
    <xf numFmtId="169" fontId="2" fillId="11" borderId="0" xfId="0" applyNumberFormat="1" applyFont="1" applyFill="1" applyBorder="1" applyAlignment="1" applyProtection="1">
      <alignment horizontal="center"/>
      <protection hidden="1"/>
    </xf>
    <xf numFmtId="169" fontId="2" fillId="11" borderId="28" xfId="0" applyNumberFormat="1" applyFont="1" applyFill="1" applyBorder="1" applyAlignment="1" applyProtection="1">
      <alignment horizontal="center"/>
      <protection hidden="1"/>
    </xf>
    <xf numFmtId="169" fontId="2" fillId="11" borderId="29" xfId="0" applyNumberFormat="1" applyFont="1" applyFill="1" applyBorder="1" applyAlignment="1" applyProtection="1">
      <alignment horizontal="center"/>
      <protection hidden="1"/>
    </xf>
    <xf numFmtId="1" fontId="2" fillId="5" borderId="0" xfId="0" applyNumberFormat="1" applyFont="1" applyFill="1" applyBorder="1" applyAlignment="1" applyProtection="1">
      <alignment horizontal="center"/>
      <protection hidden="1"/>
    </xf>
    <xf numFmtId="1" fontId="2" fillId="5" borderId="43" xfId="0" applyNumberFormat="1" applyFont="1" applyFill="1" applyBorder="1" applyAlignment="1" applyProtection="1">
      <alignment horizontal="center"/>
      <protection hidden="1"/>
    </xf>
    <xf numFmtId="0" fontId="2" fillId="5" borderId="45" xfId="0" applyFont="1" applyFill="1" applyBorder="1" applyAlignment="1" applyProtection="1">
      <alignment horizontal="center"/>
      <protection hidden="1"/>
    </xf>
    <xf numFmtId="170" fontId="2" fillId="5" borderId="45" xfId="0" applyNumberFormat="1" applyFont="1" applyFill="1" applyBorder="1" applyAlignment="1" applyProtection="1">
      <alignment horizontal="center"/>
      <protection hidden="1"/>
    </xf>
    <xf numFmtId="171" fontId="10" fillId="5" borderId="45" xfId="0" applyNumberFormat="1" applyFont="1" applyFill="1" applyBorder="1" applyAlignment="1" applyProtection="1">
      <alignment horizontal="center"/>
      <protection hidden="1"/>
    </xf>
    <xf numFmtId="1" fontId="2" fillId="5" borderId="45" xfId="0" applyNumberFormat="1" applyFont="1" applyFill="1" applyBorder="1" applyAlignment="1" applyProtection="1">
      <alignment horizontal="center"/>
      <protection hidden="1"/>
    </xf>
    <xf numFmtId="1" fontId="2" fillId="5" borderId="46" xfId="0" applyNumberFormat="1" applyFont="1" applyFill="1" applyBorder="1" applyAlignment="1" applyProtection="1">
      <alignment horizontal="center"/>
      <protection hidden="1"/>
    </xf>
    <xf numFmtId="0" fontId="2" fillId="5" borderId="0" xfId="0" applyFont="1" applyFill="1" applyBorder="1" applyAlignment="1" applyProtection="1">
      <alignment horizontal="center"/>
      <protection hidden="1"/>
    </xf>
    <xf numFmtId="170" fontId="2" fillId="5" borderId="0" xfId="0" applyNumberFormat="1" applyFont="1" applyFill="1" applyBorder="1" applyAlignment="1" applyProtection="1">
      <alignment horizontal="center"/>
      <protection hidden="1"/>
    </xf>
    <xf numFmtId="171" fontId="10" fillId="5" borderId="0" xfId="0" applyNumberFormat="1" applyFont="1" applyFill="1" applyBorder="1" applyAlignment="1" applyProtection="1">
      <alignment horizontal="center"/>
      <protection hidden="1"/>
    </xf>
    <xf numFmtId="0" fontId="0" fillId="5" borderId="39" xfId="0" applyFill="1" applyBorder="1" applyAlignment="1" applyProtection="1">
      <alignment horizontal="center"/>
      <protection hidden="1"/>
    </xf>
    <xf numFmtId="0" fontId="0" fillId="5" borderId="40" xfId="0" applyFill="1" applyBorder="1" applyAlignment="1" applyProtection="1">
      <alignment horizontal="center"/>
      <protection hidden="1"/>
    </xf>
    <xf numFmtId="0" fontId="0" fillId="14" borderId="3" xfId="0" applyFill="1" applyBorder="1" applyAlignment="1" applyProtection="1">
      <alignment horizontal="right" vertical="center"/>
      <protection hidden="1"/>
    </xf>
    <xf numFmtId="0" fontId="0" fillId="14" borderId="0" xfId="0" applyFill="1" applyBorder="1" applyAlignment="1" applyProtection="1">
      <alignment horizontal="right" vertical="center"/>
      <protection hidden="1"/>
    </xf>
    <xf numFmtId="170" fontId="2" fillId="14" borderId="0" xfId="0" applyNumberFormat="1" applyFont="1" applyFill="1" applyBorder="1" applyAlignment="1" applyProtection="1">
      <alignment horizontal="left" vertical="center"/>
      <protection hidden="1"/>
    </xf>
    <xf numFmtId="0" fontId="2" fillId="14" borderId="0" xfId="0" applyFont="1" applyFill="1" applyBorder="1" applyAlignment="1" applyProtection="1">
      <alignment horizontal="left" vertical="center"/>
      <protection hidden="1"/>
    </xf>
    <xf numFmtId="0" fontId="0" fillId="14" borderId="1" xfId="0" applyFill="1" applyBorder="1" applyAlignment="1" applyProtection="1">
      <alignment horizontal="right" vertical="center"/>
      <protection hidden="1"/>
    </xf>
    <xf numFmtId="0" fontId="0" fillId="14" borderId="7" xfId="0" applyFill="1" applyBorder="1" applyAlignment="1" applyProtection="1">
      <alignment horizontal="right" vertical="center"/>
      <protection hidden="1"/>
    </xf>
    <xf numFmtId="0" fontId="2" fillId="14" borderId="7" xfId="0" applyFont="1" applyFill="1" applyBorder="1" applyAlignment="1" applyProtection="1">
      <alignment horizontal="left" vertical="center"/>
      <protection hidden="1"/>
    </xf>
    <xf numFmtId="0" fontId="0" fillId="5" borderId="41" xfId="0" applyFill="1" applyBorder="1" applyAlignment="1" applyProtection="1">
      <alignment horizontal="center"/>
      <protection hidden="1"/>
    </xf>
    <xf numFmtId="166" fontId="2" fillId="14" borderId="7" xfId="0" applyNumberFormat="1" applyFont="1" applyFill="1" applyBorder="1" applyAlignment="1" applyProtection="1">
      <alignment horizontal="center" vertical="center"/>
      <protection hidden="1"/>
    </xf>
    <xf numFmtId="166" fontId="2" fillId="14" borderId="0" xfId="0" applyNumberFormat="1" applyFont="1" applyFill="1" applyBorder="1" applyAlignment="1" applyProtection="1">
      <alignment horizontal="center" vertical="center"/>
      <protection hidden="1"/>
    </xf>
    <xf numFmtId="172" fontId="2" fillId="14" borderId="0" xfId="0" applyNumberFormat="1" applyFont="1" applyFill="1" applyBorder="1" applyAlignment="1" applyProtection="1">
      <alignment horizontal="left" vertical="center"/>
      <protection hidden="1"/>
    </xf>
    <xf numFmtId="172" fontId="2" fillId="14" borderId="4" xfId="0" applyNumberFormat="1" applyFont="1" applyFill="1" applyBorder="1" applyAlignment="1" applyProtection="1">
      <alignment horizontal="left" vertical="center"/>
      <protection hidden="1"/>
    </xf>
    <xf numFmtId="172" fontId="2" fillId="14" borderId="8" xfId="0" applyNumberFormat="1" applyFont="1" applyFill="1" applyBorder="1" applyAlignment="1" applyProtection="1">
      <alignment horizontal="left" vertical="center"/>
      <protection hidden="1"/>
    </xf>
    <xf numFmtId="172" fontId="2" fillId="14" borderId="6" xfId="0" applyNumberFormat="1" applyFont="1" applyFill="1" applyBorder="1" applyAlignment="1" applyProtection="1">
      <alignment horizontal="left" vertical="center"/>
      <protection hidden="1"/>
    </xf>
    <xf numFmtId="168" fontId="2" fillId="6" borderId="18" xfId="0" applyNumberFormat="1" applyFont="1" applyFill="1" applyBorder="1" applyAlignment="1" applyProtection="1">
      <alignment horizontal="center"/>
      <protection hidden="1"/>
    </xf>
    <xf numFmtId="0" fontId="0" fillId="14" borderId="8" xfId="0" applyFill="1" applyBorder="1" applyAlignment="1" applyProtection="1">
      <alignment horizontal="right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3" borderId="14" xfId="0" applyFill="1" applyBorder="1" applyAlignment="1" applyProtection="1">
      <alignment horizontal="left" vertical="center"/>
      <protection hidden="1"/>
    </xf>
    <xf numFmtId="0" fontId="0" fillId="3" borderId="15" xfId="0" applyFill="1" applyBorder="1" applyAlignment="1" applyProtection="1">
      <alignment horizontal="center" vertical="center"/>
      <protection hidden="1"/>
    </xf>
    <xf numFmtId="0" fontId="0" fillId="3" borderId="16" xfId="0" applyFill="1" applyBorder="1" applyAlignment="1" applyProtection="1">
      <alignment horizontal="center" vertical="center"/>
      <protection hidden="1"/>
    </xf>
    <xf numFmtId="0" fontId="0" fillId="3" borderId="10" xfId="0" applyFill="1" applyBorder="1" applyAlignment="1" applyProtection="1">
      <alignment horizontal="center" vertical="center"/>
      <protection hidden="1"/>
    </xf>
    <xf numFmtId="0" fontId="0" fillId="3" borderId="11" xfId="0" applyFill="1" applyBorder="1" applyAlignment="1" applyProtection="1">
      <alignment horizontal="center" vertical="center"/>
      <protection hidden="1"/>
    </xf>
    <xf numFmtId="168" fontId="2" fillId="6" borderId="0" xfId="0" applyNumberFormat="1" applyFont="1" applyFill="1" applyBorder="1" applyAlignment="1" applyProtection="1">
      <alignment horizontal="center"/>
      <protection hidden="1"/>
    </xf>
    <xf numFmtId="165" fontId="9" fillId="4" borderId="0" xfId="0" applyNumberFormat="1" applyFont="1" applyFill="1" applyAlignment="1" applyProtection="1">
      <alignment horizontal="left"/>
      <protection hidden="1"/>
    </xf>
    <xf numFmtId="0" fontId="0" fillId="9" borderId="0" xfId="0" applyFill="1" applyAlignment="1" applyProtection="1">
      <alignment horizontal="right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2" fillId="4" borderId="0" xfId="0" applyFont="1" applyFill="1" applyAlignment="1" applyProtection="1">
      <alignment horizontal="left"/>
      <protection hidden="1"/>
    </xf>
    <xf numFmtId="0" fontId="2" fillId="4" borderId="51" xfId="0" applyFont="1" applyFill="1" applyBorder="1" applyAlignment="1" applyProtection="1">
      <alignment horizontal="left"/>
      <protection hidden="1"/>
    </xf>
    <xf numFmtId="0" fontId="1" fillId="2" borderId="47" xfId="1" applyFill="1" applyBorder="1" applyAlignment="1" applyProtection="1">
      <alignment horizontal="center" vertical="center"/>
      <protection hidden="1"/>
    </xf>
    <xf numFmtId="0" fontId="11" fillId="2" borderId="48" xfId="1" applyFont="1" applyFill="1" applyBorder="1" applyAlignment="1" applyProtection="1">
      <alignment horizontal="center" vertical="center"/>
      <protection hidden="1"/>
    </xf>
    <xf numFmtId="0" fontId="11" fillId="2" borderId="49" xfId="1" applyFont="1" applyFill="1" applyBorder="1" applyAlignment="1" applyProtection="1">
      <alignment horizontal="center" vertical="center"/>
      <protection hidden="1"/>
    </xf>
    <xf numFmtId="0" fontId="11" fillId="2" borderId="50" xfId="1" applyFont="1" applyFill="1" applyBorder="1" applyAlignment="1" applyProtection="1">
      <alignment horizontal="center" vertical="center"/>
      <protection hidden="1"/>
    </xf>
    <xf numFmtId="0" fontId="11" fillId="2" borderId="51" xfId="1" applyFont="1" applyFill="1" applyBorder="1" applyAlignment="1" applyProtection="1">
      <alignment horizontal="center" vertical="center"/>
      <protection hidden="1"/>
    </xf>
    <xf numFmtId="0" fontId="11" fillId="2" borderId="52" xfId="1" applyFont="1" applyFill="1" applyBorder="1" applyAlignment="1" applyProtection="1">
      <alignment horizontal="center" vertical="center"/>
      <protection hidden="1"/>
    </xf>
    <xf numFmtId="165" fontId="9" fillId="4" borderId="0" xfId="0" applyNumberFormat="1" applyFont="1" applyFill="1" applyAlignment="1" applyProtection="1">
      <alignment horizontal="right"/>
      <protection hidden="1"/>
    </xf>
    <xf numFmtId="0" fontId="2" fillId="13" borderId="0" xfId="0" applyFont="1" applyFill="1" applyAlignment="1" applyProtection="1">
      <alignment horizontal="center" vertical="center"/>
      <protection hidden="1"/>
    </xf>
    <xf numFmtId="0" fontId="0" fillId="8" borderId="0" xfId="0" applyFill="1" applyBorder="1" applyAlignment="1" applyProtection="1">
      <alignment horizontal="center"/>
      <protection hidden="1"/>
    </xf>
    <xf numFmtId="14" fontId="0" fillId="9" borderId="56" xfId="0" applyNumberFormat="1" applyFill="1" applyBorder="1" applyAlignment="1" applyProtection="1">
      <alignment horizontal="center"/>
      <protection hidden="1"/>
    </xf>
    <xf numFmtId="0" fontId="0" fillId="9" borderId="0" xfId="0" applyFill="1" applyBorder="1" applyAlignment="1" applyProtection="1">
      <alignment horizontal="center"/>
      <protection hidden="1"/>
    </xf>
    <xf numFmtId="14" fontId="0" fillId="9" borderId="58" xfId="0" applyNumberFormat="1" applyFill="1" applyBorder="1" applyAlignment="1" applyProtection="1">
      <alignment horizontal="center"/>
      <protection hidden="1"/>
    </xf>
    <xf numFmtId="0" fontId="0" fillId="9" borderId="59" xfId="0" applyFill="1" applyBorder="1" applyAlignment="1" applyProtection="1">
      <alignment horizontal="center"/>
      <protection hidden="1"/>
    </xf>
    <xf numFmtId="0" fontId="0" fillId="9" borderId="59" xfId="0" applyFill="1" applyBorder="1" applyAlignment="1" applyProtection="1">
      <alignment horizontal="left"/>
      <protection hidden="1"/>
    </xf>
    <xf numFmtId="0" fontId="0" fillId="9" borderId="60" xfId="0" applyFill="1" applyBorder="1" applyAlignment="1" applyProtection="1">
      <alignment horizontal="left"/>
      <protection hidden="1"/>
    </xf>
    <xf numFmtId="0" fontId="0" fillId="9" borderId="53" xfId="0" applyFill="1" applyBorder="1" applyAlignment="1" applyProtection="1">
      <alignment horizontal="center"/>
      <protection hidden="1"/>
    </xf>
    <xf numFmtId="0" fontId="0" fillId="9" borderId="54" xfId="0" applyFill="1" applyBorder="1" applyAlignment="1" applyProtection="1">
      <alignment horizontal="center"/>
      <protection hidden="1"/>
    </xf>
    <xf numFmtId="0" fontId="0" fillId="9" borderId="55" xfId="0" applyFill="1" applyBorder="1" applyAlignment="1" applyProtection="1">
      <alignment horizontal="center"/>
      <protection hidden="1"/>
    </xf>
    <xf numFmtId="0" fontId="13" fillId="9" borderId="0" xfId="0" applyFont="1" applyFill="1" applyBorder="1" applyAlignment="1" applyProtection="1">
      <alignment horizontal="left"/>
      <protection hidden="1"/>
    </xf>
    <xf numFmtId="0" fontId="13" fillId="9" borderId="57" xfId="0" applyFont="1" applyFill="1" applyBorder="1" applyAlignment="1" applyProtection="1">
      <alignment horizontal="left"/>
      <protection hidden="1"/>
    </xf>
    <xf numFmtId="0" fontId="0" fillId="9" borderId="0" xfId="0" applyFill="1" applyBorder="1" applyAlignment="1" applyProtection="1">
      <alignment horizontal="left"/>
      <protection hidden="1"/>
    </xf>
    <xf numFmtId="0" fontId="0" fillId="9" borderId="57" xfId="0" applyFill="1" applyBorder="1" applyAlignment="1" applyProtection="1">
      <alignment horizontal="left"/>
      <protection hidden="1"/>
    </xf>
    <xf numFmtId="0" fontId="0" fillId="11" borderId="23" xfId="0" applyFill="1" applyBorder="1" applyAlignment="1" applyProtection="1">
      <alignment horizontal="center"/>
      <protection hidden="1"/>
    </xf>
    <xf numFmtId="0" fontId="0" fillId="11" borderId="24" xfId="0" applyFill="1" applyBorder="1" applyAlignment="1" applyProtection="1">
      <alignment horizontal="center"/>
      <protection hidden="1"/>
    </xf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center"/>
    </xf>
    <xf numFmtId="0" fontId="0" fillId="11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16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14">
    <dxf>
      <font>
        <color theme="3"/>
      </font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ont>
        <color theme="6" tint="-0.499984740745262"/>
      </font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59996337778862885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6100"/>
      </font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ont>
        <color rgb="FFFFFF99"/>
      </font>
      <fill>
        <patternFill>
          <bgColor theme="8" tint="-0.24994659260841701"/>
        </patternFill>
      </fill>
    </dxf>
    <dxf>
      <font>
        <color theme="8" tint="-0.24994659260841701"/>
      </font>
      <fill>
        <patternFill>
          <bgColor rgb="FFFFFFCC"/>
        </patternFill>
      </fill>
    </dxf>
    <dxf>
      <font>
        <color theme="3"/>
      </font>
      <fill>
        <patternFill>
          <bgColor theme="6" tint="0.59996337778862885"/>
        </patternFill>
      </fill>
    </dxf>
    <dxf>
      <font>
        <color rgb="FFFFFF0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FFFF99"/>
      <color rgb="FFFFFFCC"/>
      <color rgb="FF00CC66"/>
      <color rgb="FF33CC33"/>
      <color rgb="FF66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AVANCT"/><Relationship Id="rId3" Type="http://schemas.openxmlformats.org/officeDocument/2006/relationships/hyperlink" Target="https://cfspart.impots.gouv.fr/LoginMDP?op=c&amp;url=aHR0cHM6Ly9jZnNwYXJ0LmltcG90cy5nb3V2LmZyLw==" TargetMode="External"/><Relationship Id="rId7" Type="http://schemas.openxmlformats.org/officeDocument/2006/relationships/hyperlink" Target="#MEMO"/><Relationship Id="rId2" Type="http://schemas.openxmlformats.org/officeDocument/2006/relationships/image" Target="../media/image1.png"/><Relationship Id="rId1" Type="http://schemas.openxmlformats.org/officeDocument/2006/relationships/hyperlink" Target="https://www1.telepac.agriculture.gouv.fr/telepac/auth/accueil.action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monespaceprive.msa.fr/lfr/web/msa-auvergne/accueil?p_p_id=connexionportlet_WAR_z80techportlet&amp;p_p_lifecycle=1&amp;p_p_state=normal&amp;p_p_mode=view&amp;saveLastPath=0&amp;_connexionportlet_WAR_z80techportlet_struts_action=/login/actionSeConnecter&amp;_connexionp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DT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ID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41482</xdr:colOff>
      <xdr:row>14</xdr:row>
      <xdr:rowOff>58081</xdr:rowOff>
    </xdr:from>
    <xdr:to>
      <xdr:col>16</xdr:col>
      <xdr:colOff>571500</xdr:colOff>
      <xdr:row>15</xdr:row>
      <xdr:rowOff>98630</xdr:rowOff>
    </xdr:to>
    <xdr:pic>
      <xdr:nvPicPr>
        <xdr:cNvPr id="12" name="Image 1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0982" y="2477431"/>
          <a:ext cx="863393" cy="231049"/>
        </a:xfrm>
        <a:prstGeom prst="rect">
          <a:avLst/>
        </a:prstGeom>
        <a:noFill/>
        <a:ln w="19050">
          <a:solidFill>
            <a:schemeClr val="accent2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28576</xdr:colOff>
      <xdr:row>24</xdr:row>
      <xdr:rowOff>0</xdr:rowOff>
    </xdr:from>
    <xdr:to>
      <xdr:col>17</xdr:col>
      <xdr:colOff>258786</xdr:colOff>
      <xdr:row>37</xdr:row>
      <xdr:rowOff>180974</xdr:rowOff>
    </xdr:to>
    <xdr:pic>
      <xdr:nvPicPr>
        <xdr:cNvPr id="13" name="Image 12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6" y="4086225"/>
          <a:ext cx="230210" cy="1362074"/>
        </a:xfrm>
        <a:prstGeom prst="rect">
          <a:avLst/>
        </a:prstGeom>
        <a:noFill/>
        <a:ln w="19050">
          <a:solidFill>
            <a:schemeClr val="accent2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9526</xdr:colOff>
      <xdr:row>25</xdr:row>
      <xdr:rowOff>9525</xdr:rowOff>
    </xdr:from>
    <xdr:to>
      <xdr:col>23</xdr:col>
      <xdr:colOff>310821</xdr:colOff>
      <xdr:row>37</xdr:row>
      <xdr:rowOff>180975</xdr:rowOff>
    </xdr:to>
    <xdr:pic>
      <xdr:nvPicPr>
        <xdr:cNvPr id="14" name="Image 1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1" y="3800475"/>
          <a:ext cx="301295" cy="1352550"/>
        </a:xfrm>
        <a:prstGeom prst="rect">
          <a:avLst/>
        </a:prstGeom>
        <a:noFill/>
        <a:ln w="19050">
          <a:solidFill>
            <a:schemeClr val="accent2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85725</xdr:colOff>
      <xdr:row>8</xdr:row>
      <xdr:rowOff>76200</xdr:rowOff>
    </xdr:from>
    <xdr:to>
      <xdr:col>16</xdr:col>
      <xdr:colOff>266700</xdr:colOff>
      <xdr:row>13</xdr:row>
      <xdr:rowOff>152400</xdr:rowOff>
    </xdr:to>
    <xdr:sp macro="[0]!MdPTéléPac" textlink="">
      <xdr:nvSpPr>
        <xdr:cNvPr id="3" name="Rectangle à coins arrondis 2"/>
        <xdr:cNvSpPr/>
      </xdr:nvSpPr>
      <xdr:spPr>
        <a:xfrm>
          <a:off x="7515225" y="1609725"/>
          <a:ext cx="514350" cy="7715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/>
            <a:t>ChgtMdP Télé PAC</a:t>
          </a:r>
        </a:p>
      </xdr:txBody>
    </xdr:sp>
    <xdr:clientData/>
  </xdr:twoCellAnchor>
  <xdr:twoCellAnchor>
    <xdr:from>
      <xdr:col>16</xdr:col>
      <xdr:colOff>47625</xdr:colOff>
      <xdr:row>0</xdr:row>
      <xdr:rowOff>38100</xdr:rowOff>
    </xdr:from>
    <xdr:to>
      <xdr:col>16</xdr:col>
      <xdr:colOff>581025</xdr:colOff>
      <xdr:row>1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7"/>
        </xdr:cNvPr>
        <xdr:cNvSpPr/>
      </xdr:nvSpPr>
      <xdr:spPr>
        <a:xfrm>
          <a:off x="7810500" y="38100"/>
          <a:ext cx="533400" cy="295275"/>
        </a:xfrm>
        <a:prstGeom prst="roundRect">
          <a:avLst/>
        </a:prstGeom>
        <a:gradFill>
          <a:gsLst>
            <a:gs pos="0">
              <a:schemeClr val="accent5">
                <a:lumMod val="60000"/>
                <a:lumOff val="40000"/>
              </a:schemeClr>
            </a:gs>
            <a:gs pos="50000">
              <a:schemeClr val="accent5"/>
            </a:gs>
            <a:gs pos="100000">
              <a:schemeClr val="tx2"/>
            </a:gs>
          </a:gsLst>
          <a:lin ang="16200000" scaled="0"/>
        </a:gradFill>
        <a:scene3d>
          <a:camera prst="orthographicFront"/>
          <a:lightRig rig="threePt" dir="t"/>
        </a:scene3d>
        <a:sp3d>
          <a:bevelT w="12700"/>
          <a:bevelB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 b="1">
              <a:solidFill>
                <a:schemeClr val="bg1"/>
              </a:solidFill>
            </a:rPr>
            <a:t>Mémo</a:t>
          </a:r>
        </a:p>
      </xdr:txBody>
    </xdr:sp>
    <xdr:clientData/>
  </xdr:twoCellAnchor>
  <xdr:twoCellAnchor>
    <xdr:from>
      <xdr:col>16</xdr:col>
      <xdr:colOff>47625</xdr:colOff>
      <xdr:row>2</xdr:row>
      <xdr:rowOff>47625</xdr:rowOff>
    </xdr:from>
    <xdr:to>
      <xdr:col>16</xdr:col>
      <xdr:colOff>581025</xdr:colOff>
      <xdr:row>3</xdr:row>
      <xdr:rowOff>152400</xdr:rowOff>
    </xdr:to>
    <xdr:sp macro="" textlink="">
      <xdr:nvSpPr>
        <xdr:cNvPr id="7" name="Rectangle à coins arrondis 6">
          <a:hlinkClick xmlns:r="http://schemas.openxmlformats.org/officeDocument/2006/relationships" r:id="rId8"/>
        </xdr:cNvPr>
        <xdr:cNvSpPr/>
      </xdr:nvSpPr>
      <xdr:spPr>
        <a:xfrm>
          <a:off x="7810500" y="428625"/>
          <a:ext cx="533400" cy="295275"/>
        </a:xfrm>
        <a:prstGeom prst="roundRect">
          <a:avLst/>
        </a:prstGeom>
        <a:gradFill>
          <a:gsLst>
            <a:gs pos="0">
              <a:schemeClr val="accent6">
                <a:lumMod val="60000"/>
                <a:lumOff val="40000"/>
              </a:schemeClr>
            </a:gs>
            <a:gs pos="50000">
              <a:schemeClr val="accent6"/>
            </a:gs>
            <a:gs pos="100000">
              <a:schemeClr val="accent6">
                <a:lumMod val="75000"/>
              </a:schemeClr>
            </a:gs>
          </a:gsLst>
          <a:lin ang="16200000" scaled="0"/>
        </a:gradFill>
        <a:ln>
          <a:solidFill>
            <a:srgbClr val="FFFF99"/>
          </a:solidFill>
        </a:ln>
        <a:scene3d>
          <a:camera prst="orthographicFront"/>
          <a:lightRig rig="threePt" dir="t"/>
        </a:scene3d>
        <a:sp3d>
          <a:bevelT w="12700"/>
          <a:bevelB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 b="1">
              <a:solidFill>
                <a:schemeClr val="bg1"/>
              </a:solidFill>
            </a:rPr>
            <a:t>Avanc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619125</xdr:colOff>
      <xdr:row>0</xdr:row>
      <xdr:rowOff>0</xdr:rowOff>
    </xdr:from>
    <xdr:to>
      <xdr:col>8</xdr:col>
      <xdr:colOff>619125</xdr:colOff>
      <xdr:row>1</xdr:row>
      <xdr:rowOff>171450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2382500" y="0"/>
          <a:ext cx="1524000" cy="3619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Identification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9525</xdr:rowOff>
    </xdr:from>
    <xdr:to>
      <xdr:col>1</xdr:col>
      <xdr:colOff>990600</xdr:colOff>
      <xdr:row>2</xdr:row>
      <xdr:rowOff>180975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28575" y="9525"/>
          <a:ext cx="1524000" cy="3619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Identification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AH55"/>
  <sheetViews>
    <sheetView showGridLines="0" showZeros="0" workbookViewId="0">
      <selection activeCell="R3" sqref="R3:U3"/>
    </sheetView>
  </sheetViews>
  <sheetFormatPr baseColWidth="10" defaultRowHeight="15" x14ac:dyDescent="0.25"/>
  <cols>
    <col min="1" max="1" width="11.42578125" style="3"/>
    <col min="2" max="2" width="7.5703125" style="3" customWidth="1"/>
    <col min="3" max="7" width="6.7109375" style="3" customWidth="1"/>
    <col min="8" max="8" width="4.7109375" style="3" customWidth="1"/>
    <col min="9" max="12" width="7.7109375" style="3" customWidth="1"/>
    <col min="13" max="13" width="6.7109375" style="3" customWidth="1"/>
    <col min="14" max="14" width="8.85546875" style="3" customWidth="1"/>
    <col min="15" max="15" width="7.7109375" style="3" customWidth="1"/>
    <col min="16" max="16" width="5" style="3" customWidth="1"/>
    <col min="17" max="17" width="9.5703125" style="3" customWidth="1"/>
    <col min="18" max="18" width="4.140625" style="3" customWidth="1"/>
    <col min="19" max="19" width="7.7109375" style="3" customWidth="1"/>
    <col min="20" max="20" width="11.140625" style="3" customWidth="1"/>
    <col min="21" max="21" width="11" style="5" customWidth="1"/>
    <col min="22" max="22" width="11.42578125" style="3"/>
    <col min="23" max="23" width="5.7109375" style="3" customWidth="1"/>
    <col min="24" max="24" width="4.85546875" style="3" customWidth="1"/>
    <col min="25" max="25" width="5.7109375" style="3" customWidth="1"/>
    <col min="26" max="26" width="3.7109375" style="3" customWidth="1"/>
    <col min="27" max="28" width="5.7109375" style="3" customWidth="1"/>
    <col min="29" max="29" width="3.7109375" style="3" customWidth="1"/>
    <col min="30" max="30" width="17.140625" style="3" customWidth="1"/>
    <col min="31" max="31" width="11.7109375" style="3" customWidth="1"/>
    <col min="32" max="32" width="11.42578125" style="3"/>
    <col min="33" max="33" width="5.7109375" style="3" customWidth="1"/>
    <col min="34" max="34" width="17.42578125" style="3" customWidth="1"/>
    <col min="35" max="16384" width="11.42578125" style="3"/>
  </cols>
  <sheetData>
    <row r="1" spans="1:31" x14ac:dyDescent="0.25">
      <c r="A1" s="232">
        <v>999999</v>
      </c>
      <c r="B1" s="232"/>
      <c r="D1" s="233" t="str">
        <f>CONCATENATE(VLOOKUP($A$1,IDENT,2)," ",VLOOKUP($A$1,IDENT,3))</f>
        <v>Hychinel Paul</v>
      </c>
      <c r="E1" s="233"/>
      <c r="F1" s="233"/>
      <c r="G1" s="233"/>
      <c r="H1" s="233"/>
      <c r="I1" s="233"/>
      <c r="J1" s="233"/>
      <c r="K1" s="4"/>
      <c r="L1" s="170" t="s">
        <v>27</v>
      </c>
      <c r="M1" s="170"/>
      <c r="N1" s="169">
        <f>VLOOKUP($A$1,IDENT,9)</f>
        <v>0</v>
      </c>
      <c r="O1" s="169"/>
      <c r="P1" s="169"/>
      <c r="R1" s="167" t="str">
        <f>VLOOKUP($A$1,MEMO,3)</f>
        <v>Je n'irais plus</v>
      </c>
      <c r="S1" s="167"/>
      <c r="T1" s="167"/>
      <c r="U1" s="167"/>
      <c r="V1" s="167"/>
      <c r="W1" s="167"/>
      <c r="X1" s="167"/>
      <c r="Y1" s="167"/>
      <c r="Z1" s="167"/>
      <c r="AA1" s="167"/>
      <c r="AB1" s="168" t="str">
        <f>VLOOKUP($A$1,MEMO,4)</f>
        <v>Je me suis déjà fait engueuler</v>
      </c>
      <c r="AC1" s="168"/>
      <c r="AD1" s="168"/>
    </row>
    <row r="2" spans="1:31" x14ac:dyDescent="0.25">
      <c r="A2" s="232"/>
      <c r="B2" s="232"/>
      <c r="D2" s="233"/>
      <c r="E2" s="233"/>
      <c r="F2" s="233"/>
      <c r="G2" s="233"/>
      <c r="H2" s="233"/>
      <c r="I2" s="233"/>
      <c r="J2" s="233"/>
      <c r="L2" s="170" t="s">
        <v>8</v>
      </c>
      <c r="M2" s="170"/>
      <c r="N2" s="169">
        <f>VLOOKUP($A$1,IDENT,10)</f>
        <v>0</v>
      </c>
      <c r="O2" s="169"/>
      <c r="P2" s="169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8"/>
      <c r="AC2" s="168"/>
      <c r="AD2" s="168"/>
    </row>
    <row r="3" spans="1:31" x14ac:dyDescent="0.25">
      <c r="A3" s="104" t="str">
        <f>IF(LEN(VLOOKUP($A$1,IDENT,18))&gt;0,"TVA :","")</f>
        <v>TVA :</v>
      </c>
      <c r="B3" s="243">
        <f>VLOOKUP($A$1,IDENT,17)</f>
        <v>0</v>
      </c>
      <c r="D3" s="234" t="str">
        <f>VLOOKUP($A$1,IDENT,4)</f>
        <v>La Zone</v>
      </c>
      <c r="E3" s="234"/>
      <c r="F3" s="234"/>
      <c r="G3" s="234"/>
      <c r="H3" s="234"/>
      <c r="I3" s="234"/>
      <c r="J3" s="234"/>
      <c r="L3" s="170" t="s">
        <v>107</v>
      </c>
      <c r="M3" s="170"/>
      <c r="N3" s="169">
        <f>VLOOKUP($A$1,IDENT,12)</f>
        <v>0</v>
      </c>
      <c r="O3" s="169"/>
      <c r="P3" s="169"/>
      <c r="R3" s="160" t="str">
        <f>IF(VLOOKUP($A$1,AVANCT,5)&gt;=VLOOKUP($A$1,IDENT,16),CONCATENATE("Saisie N jusqu'au ",TEXT(VLOOKUP($A$1,AVANCT,5),"JJ/MM/AAAA")),"")</f>
        <v>Saisie N jusqu'au 30/06/2018</v>
      </c>
      <c r="S3" s="160"/>
      <c r="T3" s="160"/>
      <c r="U3" s="160"/>
      <c r="V3" s="161" t="str">
        <f>IF(A4=3310,CONCATENATE(VLOOKUP($A$1,AVANCT,11),"   Décl. TVA trim. faites"),IF(VLOOKUP($A$1,AVANCT,9)&gt;VLOOKUP($A$1,IDENT,16),CONCATENATE("Décl. TVA annuelle ",TEXT(VLOOKUP($A$1,AVANCT,9),"JJ/MM/AAAA")),""))</f>
        <v>3   Décl. TVA trim. faites</v>
      </c>
      <c r="W3" s="161"/>
      <c r="X3" s="161"/>
      <c r="Y3" s="162" t="str">
        <f>IF(VLOOKUP($A$1,AVANCT,7)&gt;VLOOKUP($A$1,IDENT,16),CONCATENATE("Visa  ",TEXT(VLOOKUP($A$1,AVANCT,7),"JJ/MM/AAAA")),"")</f>
        <v/>
      </c>
      <c r="Z3" s="162"/>
      <c r="AA3" s="162"/>
      <c r="AB3" s="162"/>
      <c r="AC3" s="162"/>
    </row>
    <row r="4" spans="1:31" x14ac:dyDescent="0.25">
      <c r="A4" s="104">
        <f>VLOOKUP($A$1,IDENT,18)</f>
        <v>3310</v>
      </c>
      <c r="B4" s="243"/>
      <c r="D4" s="7"/>
      <c r="E4" s="7"/>
      <c r="F4" s="7"/>
      <c r="G4" s="7"/>
      <c r="H4" s="7"/>
      <c r="I4" s="7"/>
      <c r="J4" s="7"/>
      <c r="L4" s="170" t="str">
        <f>IF(LEN(N4)=1,"","Fax")</f>
        <v/>
      </c>
      <c r="M4" s="170"/>
      <c r="N4" s="169">
        <f>VLOOKUP($A$1,IDENT,11)</f>
        <v>0</v>
      </c>
      <c r="O4" s="169"/>
      <c r="P4" s="169"/>
      <c r="R4" s="160" t="str">
        <f>IF(VLOOKUP($A$1,AVANCT,6)&gt;VLOOKUP($A$1,IDENT,16),CONCATENATE("Saisie N+1 jusqu'au ",TEXT(VLOOKUP($A$1,AVANCT,6),"JJ/MM/AAAA")),"")</f>
        <v>Saisie N+1 jusqu'au 30/09/2018</v>
      </c>
      <c r="S4" s="160"/>
      <c r="T4" s="160"/>
      <c r="U4" s="160"/>
      <c r="V4" s="161"/>
      <c r="W4" s="161"/>
      <c r="X4" s="161"/>
      <c r="Y4" s="162" t="str">
        <f>IF(VLOOKUP($A$1,AVANCT,16)=0,"",CONCATENATE("Drp MSA  ",TEXT(VLOOKUP($A$1,AVANCT,16),"JJ/MM/AAAA")))</f>
        <v/>
      </c>
      <c r="Z4" s="162"/>
      <c r="AA4" s="162"/>
      <c r="AB4" s="162"/>
      <c r="AC4" s="162"/>
    </row>
    <row r="5" spans="1:31" ht="15.75" thickBot="1" x14ac:dyDescent="0.3">
      <c r="D5" s="8">
        <f>VLOOKUP($A$1,IDENT,5)</f>
        <v>99999</v>
      </c>
      <c r="E5" s="235" t="str">
        <f>VLOOKUP($A$1,IDENT,7)</f>
        <v>Champs sur Index</v>
      </c>
      <c r="F5" s="235"/>
      <c r="G5" s="235"/>
      <c r="H5" s="235"/>
      <c r="I5" s="235"/>
      <c r="J5" s="235"/>
      <c r="K5" s="124"/>
      <c r="L5" s="6"/>
      <c r="M5" s="6"/>
      <c r="N5" s="170"/>
      <c r="O5" s="170"/>
      <c r="P5" s="170"/>
      <c r="R5" s="162" t="s">
        <v>58</v>
      </c>
      <c r="S5" s="162"/>
      <c r="T5" s="96" t="s">
        <v>59</v>
      </c>
      <c r="U5" s="96" t="s">
        <v>63</v>
      </c>
      <c r="V5" s="162" t="s">
        <v>27</v>
      </c>
      <c r="W5" s="162"/>
      <c r="X5" s="162" t="s">
        <v>9</v>
      </c>
      <c r="Y5" s="162"/>
      <c r="Z5" s="162" t="s">
        <v>6</v>
      </c>
      <c r="AA5" s="162"/>
      <c r="AB5" s="162"/>
      <c r="AC5" s="162"/>
      <c r="AD5" s="17" t="s">
        <v>60</v>
      </c>
      <c r="AE5" s="17" t="s">
        <v>61</v>
      </c>
    </row>
    <row r="6" spans="1:31" x14ac:dyDescent="0.25">
      <c r="A6" s="230">
        <f>VLOOKUP($A$1,IDENT,15)</f>
        <v>42917</v>
      </c>
      <c r="B6" s="230"/>
      <c r="D6" s="236" t="str">
        <f>IF(LEN(VLOOKUP(A1,IDENT,8))=0,"",HYPERLINK("mailto:"&amp;VLOOKUP(A1,IDENT,8)&amp;""))</f>
        <v/>
      </c>
      <c r="E6" s="237"/>
      <c r="F6" s="237"/>
      <c r="G6" s="237"/>
      <c r="H6" s="237"/>
      <c r="I6" s="237"/>
      <c r="J6" s="238"/>
      <c r="K6" s="11"/>
      <c r="L6" s="231" t="s">
        <v>24</v>
      </c>
      <c r="M6" s="231"/>
      <c r="N6" s="169">
        <f>VLOOKUP($A$1,IDENT,13)</f>
        <v>0</v>
      </c>
      <c r="O6" s="169"/>
      <c r="P6" s="169"/>
      <c r="R6" s="11">
        <v>2</v>
      </c>
      <c r="S6" s="11"/>
      <c r="T6" s="12">
        <v>3</v>
      </c>
      <c r="U6" s="11">
        <v>4</v>
      </c>
      <c r="V6" s="11">
        <v>5</v>
      </c>
      <c r="W6" s="11"/>
      <c r="X6" s="11"/>
      <c r="Y6" s="11"/>
      <c r="Z6" s="11">
        <v>6</v>
      </c>
      <c r="AA6" s="11"/>
      <c r="AB6" s="11">
        <v>7</v>
      </c>
      <c r="AC6" s="122"/>
      <c r="AD6" s="11">
        <v>9</v>
      </c>
      <c r="AE6" s="11">
        <v>10</v>
      </c>
    </row>
    <row r="7" spans="1:31" ht="15" customHeight="1" thickBot="1" x14ac:dyDescent="0.3">
      <c r="A7" s="242">
        <f>VLOOKUP($A$1,IDENT,16)</f>
        <v>43281</v>
      </c>
      <c r="B7" s="242"/>
      <c r="C7" s="43"/>
      <c r="D7" s="239"/>
      <c r="E7" s="240"/>
      <c r="F7" s="240"/>
      <c r="G7" s="240"/>
      <c r="H7" s="240"/>
      <c r="I7" s="240"/>
      <c r="J7" s="241"/>
      <c r="K7" s="9"/>
      <c r="L7" s="10"/>
      <c r="M7" s="10"/>
      <c r="N7" s="10"/>
      <c r="R7" s="125" t="e">
        <f>VLOOKUP($A$1,PART,R6)</f>
        <v>#REF!</v>
      </c>
      <c r="S7" s="118"/>
      <c r="T7" s="119" t="e">
        <f>VLOOKUP($A$1,PART,T6)</f>
        <v>#REF!</v>
      </c>
      <c r="U7" s="7" t="e">
        <f>VLOOKUP($A$1,PART,U6)</f>
        <v>#REF!</v>
      </c>
      <c r="V7" s="119" t="e">
        <f>VLOOKUP($A$1,PART,V6)</f>
        <v>#REF!</v>
      </c>
      <c r="W7" s="119"/>
      <c r="X7" s="119" t="e">
        <f>VLOOKUP($A$1,PART,Z6)</f>
        <v>#REF!</v>
      </c>
      <c r="Y7" s="119"/>
      <c r="Z7" s="120" t="e">
        <f>IF(LEN(VLOOKUP(A1,PART,AB6))=0,"",HYPERLINK("mailto:"&amp;VLOOKUP(A1,PART,AB6)&amp;""))</f>
        <v>#REF!</v>
      </c>
      <c r="AA7" s="120"/>
      <c r="AB7" s="120"/>
      <c r="AC7" s="120"/>
      <c r="AD7" s="119" t="e">
        <f>VLOOKUP($A$1,PART,AD6)</f>
        <v>#REF!</v>
      </c>
      <c r="AE7" s="7" t="e">
        <f>VLOOKUP($A$1,PART,AE6)</f>
        <v>#REF!</v>
      </c>
    </row>
    <row r="8" spans="1:31" ht="8.25" customHeight="1" thickBot="1" x14ac:dyDescent="0.3">
      <c r="R8" s="100">
        <f>R6+9</f>
        <v>11</v>
      </c>
      <c r="S8" s="100"/>
      <c r="T8" s="12">
        <f>T6+9</f>
        <v>12</v>
      </c>
      <c r="U8" s="11">
        <f>U6+9</f>
        <v>13</v>
      </c>
      <c r="V8" s="11">
        <f>V6+9</f>
        <v>14</v>
      </c>
      <c r="W8" s="11"/>
      <c r="X8" s="11">
        <f>Z6+9</f>
        <v>15</v>
      </c>
      <c r="Y8" s="122"/>
      <c r="Z8" s="98">
        <f>AB6+9</f>
        <v>16</v>
      </c>
      <c r="AA8" s="99"/>
      <c r="AB8" s="99"/>
      <c r="AC8" s="99"/>
      <c r="AD8" s="11">
        <f>AD6+9</f>
        <v>18</v>
      </c>
      <c r="AE8" s="11">
        <f>AE6+9</f>
        <v>19</v>
      </c>
    </row>
    <row r="9" spans="1:31" ht="15" customHeight="1" x14ac:dyDescent="0.25">
      <c r="A9" s="210" t="s">
        <v>14</v>
      </c>
      <c r="B9" s="211"/>
      <c r="C9" s="212" t="str">
        <f>LEFT(VLOOKUP($A$1,NUM,2),13)</f>
        <v>2</v>
      </c>
      <c r="D9" s="212"/>
      <c r="E9" s="212"/>
      <c r="F9" s="211" t="s">
        <v>16</v>
      </c>
      <c r="G9" s="211"/>
      <c r="H9" s="214" t="str">
        <f>TEXT(VLOOKUP($A$1,NUM,4),"000000")</f>
        <v>000004</v>
      </c>
      <c r="I9" s="214"/>
      <c r="J9" s="108"/>
      <c r="K9" s="109"/>
      <c r="M9" s="163" t="s">
        <v>19</v>
      </c>
      <c r="N9" s="227" t="str">
        <f>TEXT(VLOOKUP($A$1,NUM,8),"000000000")</f>
        <v>000000008</v>
      </c>
      <c r="O9" s="228"/>
      <c r="R9" s="125" t="e">
        <f>VLOOKUP($A$1,PART,R8)</f>
        <v>#REF!</v>
      </c>
      <c r="S9" s="118"/>
      <c r="T9" s="119" t="e">
        <f>VLOOKUP($A$1,PART,T8)</f>
        <v>#REF!</v>
      </c>
      <c r="U9" s="7" t="e">
        <f>VLOOKUP($A$1,PART,U8)</f>
        <v>#REF!</v>
      </c>
      <c r="V9" s="119" t="e">
        <f>VLOOKUP($A$1,PART,V8)</f>
        <v>#REF!</v>
      </c>
      <c r="W9" s="119"/>
      <c r="X9" s="119" t="e">
        <f>VLOOKUP($A$1,PART,X8)</f>
        <v>#REF!</v>
      </c>
      <c r="Y9" s="119"/>
      <c r="Z9" s="120" t="e">
        <f>IF(VLOOKUP($A$1,PART,Z8)=0,"",HYPERLINK("mailto:"&amp;VLOOKUP($A$1,PART,Z8)))</f>
        <v>#REF!</v>
      </c>
      <c r="AA9" s="120"/>
      <c r="AB9" s="120"/>
      <c r="AC9" s="120"/>
      <c r="AD9" s="119" t="e">
        <f>VLOOKUP($A$1,PART,AD8)</f>
        <v>#REF!</v>
      </c>
      <c r="AE9" s="7" t="e">
        <f>VLOOKUP($A$1,PART,AE8)</f>
        <v>#REF!</v>
      </c>
    </row>
    <row r="10" spans="1:31" ht="8.25" customHeight="1" x14ac:dyDescent="0.25">
      <c r="A10" s="206"/>
      <c r="B10" s="207"/>
      <c r="C10" s="209"/>
      <c r="D10" s="209"/>
      <c r="E10" s="209"/>
      <c r="F10" s="207"/>
      <c r="G10" s="207"/>
      <c r="H10" s="215"/>
      <c r="I10" s="215"/>
      <c r="J10" s="107"/>
      <c r="K10" s="110"/>
      <c r="M10" s="164"/>
      <c r="N10" s="222"/>
      <c r="O10" s="223"/>
      <c r="R10" s="100">
        <f>R8+9</f>
        <v>20</v>
      </c>
      <c r="S10" s="100"/>
      <c r="T10" s="12">
        <f>T8+9</f>
        <v>21</v>
      </c>
      <c r="U10" s="11">
        <f>U8+9</f>
        <v>22</v>
      </c>
      <c r="V10" s="11">
        <f>V8+9</f>
        <v>23</v>
      </c>
      <c r="W10" s="11"/>
      <c r="X10" s="11">
        <f>X8+9</f>
        <v>24</v>
      </c>
      <c r="Y10" s="122"/>
      <c r="Z10" s="98">
        <f>Z8+9</f>
        <v>25</v>
      </c>
      <c r="AA10" s="99"/>
      <c r="AB10" s="99"/>
      <c r="AC10" s="99"/>
      <c r="AD10" s="11">
        <f>AD8+9</f>
        <v>27</v>
      </c>
      <c r="AE10" s="11">
        <f>AE8+9</f>
        <v>28</v>
      </c>
    </row>
    <row r="11" spans="1:31" ht="15" customHeight="1" x14ac:dyDescent="0.25">
      <c r="A11" s="111"/>
      <c r="B11" s="112"/>
      <c r="C11" s="112"/>
      <c r="D11" s="112"/>
      <c r="E11" s="112"/>
      <c r="F11" s="207" t="s">
        <v>30</v>
      </c>
      <c r="G11" s="207"/>
      <c r="H11" s="215">
        <f>VLOOKUP($A$1,NUM,5)</f>
        <v>5</v>
      </c>
      <c r="I11" s="215"/>
      <c r="J11" s="113"/>
      <c r="K11" s="114"/>
      <c r="M11" s="164" t="s">
        <v>20</v>
      </c>
      <c r="N11" s="165">
        <f>IF(LEN(VLOOKUP($A$1,NUM,9))=7,CONCATENATE(0,VLOOKUP($A$1,NUM,9)),VLOOKUP($A$1,NUM,9))</f>
        <v>9</v>
      </c>
      <c r="O11" s="166"/>
      <c r="R11" s="125" t="e">
        <f>VLOOKUP($A$1,PART,R10)</f>
        <v>#REF!</v>
      </c>
      <c r="S11" s="118"/>
      <c r="T11" s="119" t="e">
        <f>VLOOKUP($A$1,PART,T10)</f>
        <v>#REF!</v>
      </c>
      <c r="U11" s="7" t="e">
        <f>VLOOKUP($A$1,PART,U10)</f>
        <v>#REF!</v>
      </c>
      <c r="V11" s="119" t="e">
        <f>VLOOKUP($A$1,PART,V10)</f>
        <v>#REF!</v>
      </c>
      <c r="W11" s="119"/>
      <c r="X11" s="119" t="e">
        <f>VLOOKUP($A$1,PART,X10)</f>
        <v>#REF!</v>
      </c>
      <c r="Y11" s="119"/>
      <c r="Z11" s="120" t="e">
        <f>IF(LEN(VLOOKUP($A$1,PART,Z10))=0,"",HYPERLINK("mailto:"&amp;VLOOKUP($A$1,PART,Z10)))</f>
        <v>#REF!</v>
      </c>
      <c r="AA11" s="120"/>
      <c r="AB11" s="120"/>
      <c r="AC11" s="120"/>
      <c r="AD11" s="119" t="e">
        <f>VLOOKUP($A$1,PART,AD10)</f>
        <v>#REF!</v>
      </c>
      <c r="AE11" s="7" t="e">
        <f>VLOOKUP($A$1,PART,AE10)</f>
        <v>#REF!</v>
      </c>
    </row>
    <row r="12" spans="1:31" ht="8.25" customHeight="1" x14ac:dyDescent="0.25">
      <c r="A12" s="206" t="s">
        <v>29</v>
      </c>
      <c r="B12" s="207"/>
      <c r="C12" s="209" t="str">
        <f>RIGHT(C9,9)</f>
        <v>2</v>
      </c>
      <c r="D12" s="209"/>
      <c r="E12" s="209"/>
      <c r="F12" s="207"/>
      <c r="G12" s="207"/>
      <c r="H12" s="215"/>
      <c r="I12" s="215"/>
      <c r="J12" s="107"/>
      <c r="K12" s="110"/>
      <c r="M12" s="164"/>
      <c r="N12" s="165"/>
      <c r="O12" s="166"/>
      <c r="R12" s="100">
        <f>R10+9</f>
        <v>29</v>
      </c>
      <c r="S12" s="100"/>
      <c r="T12" s="12">
        <f>T10+9</f>
        <v>30</v>
      </c>
      <c r="U12" s="11">
        <f>U10+9</f>
        <v>31</v>
      </c>
      <c r="V12" s="11">
        <f>V10+9</f>
        <v>32</v>
      </c>
      <c r="W12" s="11"/>
      <c r="X12" s="11">
        <f>X10+9</f>
        <v>33</v>
      </c>
      <c r="Y12" s="122"/>
      <c r="Z12" s="98">
        <f>Z10+9</f>
        <v>34</v>
      </c>
      <c r="AA12" s="99"/>
      <c r="AB12" s="99"/>
      <c r="AC12" s="99"/>
      <c r="AD12" s="11">
        <f>AD10+9</f>
        <v>36</v>
      </c>
      <c r="AE12" s="11">
        <f>AE10+9</f>
        <v>37</v>
      </c>
    </row>
    <row r="13" spans="1:31" ht="15" customHeight="1" x14ac:dyDescent="0.25">
      <c r="A13" s="206"/>
      <c r="B13" s="207"/>
      <c r="C13" s="209"/>
      <c r="D13" s="209"/>
      <c r="E13" s="209"/>
      <c r="F13" s="207" t="s">
        <v>17</v>
      </c>
      <c r="G13" s="207"/>
      <c r="H13" s="215" t="str">
        <f>RIGHT(VLOOKUP($A$1,NUM,6),2)</f>
        <v>6</v>
      </c>
      <c r="I13" s="215"/>
      <c r="J13" s="113"/>
      <c r="K13" s="114"/>
      <c r="M13" s="164" t="s">
        <v>18</v>
      </c>
      <c r="N13" s="222" t="str">
        <f>TEXT(VLOOKUP($A$1,NUM,7),"000000000")</f>
        <v>000000007</v>
      </c>
      <c r="O13" s="223"/>
      <c r="R13" s="125" t="e">
        <f>VLOOKUP($A$1,PART,R12)</f>
        <v>#REF!</v>
      </c>
      <c r="S13" s="118"/>
      <c r="T13" s="119" t="e">
        <f>VLOOKUP($A$1,PART,T12)</f>
        <v>#REF!</v>
      </c>
      <c r="U13" s="7" t="e">
        <f>VLOOKUP($A$1,PART,U12)</f>
        <v>#REF!</v>
      </c>
      <c r="V13" s="119" t="e">
        <f>VLOOKUP($A$1,PART,V12)</f>
        <v>#REF!</v>
      </c>
      <c r="W13" s="119"/>
      <c r="X13" s="119" t="e">
        <f>VLOOKUP($A$1,PART,X12)</f>
        <v>#REF!</v>
      </c>
      <c r="Y13" s="119"/>
      <c r="Z13" s="120" t="e">
        <f>IF(LEN(VLOOKUP($A$1,PART,Z12))=0,"",HYPERLINK("mailto:"&amp;VLOOKUP($A$1,PART,Z12)))</f>
        <v>#REF!</v>
      </c>
      <c r="AA13" s="120"/>
      <c r="AB13" s="120"/>
      <c r="AC13" s="120"/>
      <c r="AD13" s="119" t="e">
        <f>VLOOKUP($A$1,PART,AD12)</f>
        <v>#REF!</v>
      </c>
      <c r="AE13" s="7" t="e">
        <f>VLOOKUP($A$1,PART,AE12)</f>
        <v>#REF!</v>
      </c>
    </row>
    <row r="14" spans="1:31" ht="8.25" customHeight="1" x14ac:dyDescent="0.25">
      <c r="A14" s="206" t="s">
        <v>28</v>
      </c>
      <c r="B14" s="207"/>
      <c r="C14" s="208" t="str">
        <f>IF(LEN(VLOOKUP($A$1,NUM,3))=3,CONCATENATE(C12,"000",VLOOKUP($A$1,NUM,3)),CONCATENATE(C12,"00",VLOOKUP($A$1,NUM,3)))</f>
        <v>2003</v>
      </c>
      <c r="D14" s="208"/>
      <c r="E14" s="208"/>
      <c r="F14" s="207"/>
      <c r="G14" s="207"/>
      <c r="H14" s="215"/>
      <c r="I14" s="215"/>
      <c r="J14" s="107"/>
      <c r="K14" s="110"/>
      <c r="M14" s="164"/>
      <c r="N14" s="222"/>
      <c r="O14" s="223"/>
      <c r="R14" s="100">
        <f>R12+9</f>
        <v>38</v>
      </c>
      <c r="S14" s="100"/>
      <c r="T14" s="12">
        <f>T12+9</f>
        <v>39</v>
      </c>
      <c r="U14" s="11">
        <f>U12+9</f>
        <v>40</v>
      </c>
      <c r="V14" s="11">
        <f>V12+9</f>
        <v>41</v>
      </c>
      <c r="W14" s="11"/>
      <c r="X14" s="11">
        <f>X12+9</f>
        <v>42</v>
      </c>
      <c r="Y14" s="122"/>
      <c r="Z14" s="98">
        <f>Z12+9</f>
        <v>43</v>
      </c>
      <c r="AA14" s="99"/>
      <c r="AB14" s="99"/>
      <c r="AC14" s="99"/>
      <c r="AD14" s="11">
        <f>AD12+9</f>
        <v>45</v>
      </c>
      <c r="AE14" s="11">
        <f>AE12+9</f>
        <v>46</v>
      </c>
    </row>
    <row r="15" spans="1:31" ht="15" customHeight="1" x14ac:dyDescent="0.25">
      <c r="A15" s="206"/>
      <c r="B15" s="207"/>
      <c r="C15" s="208"/>
      <c r="D15" s="208"/>
      <c r="E15" s="208"/>
      <c r="F15" s="207" t="s">
        <v>31</v>
      </c>
      <c r="G15" s="207"/>
      <c r="H15" s="107"/>
      <c r="I15" s="216" t="str">
        <f>CONCATENATE(H9,H11,H13)</f>
        <v>00000456</v>
      </c>
      <c r="J15" s="216"/>
      <c r="K15" s="217"/>
      <c r="L15" s="13"/>
      <c r="M15" s="164" t="s">
        <v>32</v>
      </c>
      <c r="N15" s="222">
        <f>VLOOKUP($A$1,NUM,10)</f>
        <v>10</v>
      </c>
      <c r="O15" s="223"/>
      <c r="R15" s="125" t="e">
        <f>VLOOKUP($A$1,PART,R14)</f>
        <v>#REF!</v>
      </c>
      <c r="S15" s="118"/>
      <c r="T15" s="119" t="e">
        <f>VLOOKUP($A$1,PART,T14)</f>
        <v>#REF!</v>
      </c>
      <c r="U15" s="7" t="e">
        <f>VLOOKUP($A$1,PART,U14)</f>
        <v>#REF!</v>
      </c>
      <c r="V15" s="119" t="e">
        <f>VLOOKUP($A$1,PART,V14)</f>
        <v>#REF!</v>
      </c>
      <c r="W15" s="119"/>
      <c r="X15" s="119" t="e">
        <f>VLOOKUP($A$1,PART,X14)</f>
        <v>#REF!</v>
      </c>
      <c r="Y15" s="119"/>
      <c r="Z15" s="120" t="e">
        <f>IF(LEN(VLOOKUP($A$1,PART,Z14))=0,"",HYPERLINK("mailto:"&amp;VLOOKUP($A$1,PART,Z14)))</f>
        <v>#REF!</v>
      </c>
      <c r="AA15" s="120"/>
      <c r="AB15" s="120"/>
      <c r="AC15" s="120"/>
      <c r="AD15" s="119" t="e">
        <f>VLOOKUP($A$1,PART,AD14)</f>
        <v>#REF!</v>
      </c>
      <c r="AE15" s="7" t="e">
        <f>VLOOKUP($A$1,PART,AE14)</f>
        <v>#REF!</v>
      </c>
    </row>
    <row r="16" spans="1:31" ht="8.25" customHeight="1" thickBot="1" x14ac:dyDescent="0.3">
      <c r="A16" s="115"/>
      <c r="B16" s="116"/>
      <c r="C16" s="116"/>
      <c r="D16" s="116"/>
      <c r="E16" s="116"/>
      <c r="F16" s="221"/>
      <c r="G16" s="221"/>
      <c r="H16" s="117"/>
      <c r="I16" s="218"/>
      <c r="J16" s="218"/>
      <c r="K16" s="219"/>
      <c r="M16" s="224"/>
      <c r="N16" s="225"/>
      <c r="O16" s="226"/>
      <c r="P16" s="101">
        <f>VLOOKUP($A$1,NUM,11)</f>
        <v>11</v>
      </c>
      <c r="Q16" s="97"/>
      <c r="R16" s="100">
        <f>R14+9</f>
        <v>47</v>
      </c>
      <c r="S16" s="100"/>
      <c r="T16" s="12">
        <f>T14+9</f>
        <v>48</v>
      </c>
      <c r="U16" s="11">
        <f>U14+9</f>
        <v>49</v>
      </c>
      <c r="V16" s="11">
        <f>V14+9</f>
        <v>50</v>
      </c>
      <c r="W16" s="11"/>
      <c r="X16" s="11">
        <f>X14+9</f>
        <v>51</v>
      </c>
      <c r="Y16" s="122"/>
      <c r="Z16" s="98">
        <f>Z14+9</f>
        <v>52</v>
      </c>
      <c r="AA16" s="99"/>
      <c r="AB16" s="99"/>
      <c r="AC16" s="99"/>
      <c r="AD16" s="11">
        <f>AD14+9</f>
        <v>54</v>
      </c>
      <c r="AE16" s="11">
        <f>AE14+9</f>
        <v>55</v>
      </c>
    </row>
    <row r="17" spans="1:34" s="18" customFormat="1" ht="15" customHeight="1" thickBot="1" x14ac:dyDescent="0.3">
      <c r="M17" s="137"/>
      <c r="N17" s="137"/>
      <c r="O17" s="72"/>
      <c r="R17" s="125" t="e">
        <f>VLOOKUP($A$1,PART,R16)</f>
        <v>#REF!</v>
      </c>
      <c r="S17" s="118"/>
      <c r="T17" s="119" t="e">
        <f>VLOOKUP($A$1,PART,T16)</f>
        <v>#REF!</v>
      </c>
      <c r="U17" s="7" t="e">
        <f>VLOOKUP($A$1,PART,U16)</f>
        <v>#REF!</v>
      </c>
      <c r="V17" s="119" t="e">
        <f>VLOOKUP($A$1,PART,V16)</f>
        <v>#REF!</v>
      </c>
      <c r="W17" s="119"/>
      <c r="X17" s="119" t="e">
        <f>VLOOKUP($A$1,PART,X16)</f>
        <v>#REF!</v>
      </c>
      <c r="Y17" s="119"/>
      <c r="Z17" s="120" t="e">
        <f>IF(LEN(VLOOKUP($A$1,PART,Z16))=0,"",HYPERLINK("mailto:"&amp;VLOOKUP($A$1,PART,Z16)))</f>
        <v>#REF!</v>
      </c>
      <c r="AA17" s="120"/>
      <c r="AB17" s="120"/>
      <c r="AC17" s="120"/>
      <c r="AD17" s="119" t="e">
        <f>VLOOKUP($A$1,PART,AD16)</f>
        <v>#REF!</v>
      </c>
      <c r="AE17" s="7" t="e">
        <f>VLOOKUP($A$1,PART,AE16)</f>
        <v>#REF!</v>
      </c>
    </row>
    <row r="18" spans="1:34" x14ac:dyDescent="0.25">
      <c r="A18" s="21" t="e">
        <f>IF(C18&gt;0,VLOOKUP(C18,BANK,3),"")</f>
        <v>#REF!</v>
      </c>
      <c r="B18" s="22">
        <f>IF(LEN(C18)=1,"",VLOOKUP($A$1,NUM,21))</f>
        <v>21</v>
      </c>
      <c r="C18" s="23">
        <f>VLOOKUP($A$1,NUM,12)</f>
        <v>12</v>
      </c>
      <c r="D18" s="24">
        <f>VLOOKUP($A$1,NUM,13)</f>
        <v>13</v>
      </c>
      <c r="E18" s="220">
        <f>VLOOKUP($A$1,NUM,14)</f>
        <v>14</v>
      </c>
      <c r="F18" s="220"/>
      <c r="G18" s="23">
        <f>VLOOKUP($A$1,NUM,15)</f>
        <v>15</v>
      </c>
      <c r="H18" s="23">
        <f>VLOOKUP($A$1,NUM,16)</f>
        <v>16</v>
      </c>
      <c r="I18" s="23">
        <f>VLOOKUP($A$1,NUM,17)</f>
        <v>17</v>
      </c>
      <c r="J18" s="23">
        <f>VLOOKUP($A$1,NUM,18)</f>
        <v>18</v>
      </c>
      <c r="K18" s="23">
        <f>VLOOKUP($A$1,NUM,19)</f>
        <v>19</v>
      </c>
      <c r="L18" s="105">
        <f>VLOOKUP($A$1,NUM,20)</f>
        <v>20</v>
      </c>
      <c r="M18" s="135">
        <f>VLOOKUP($A$1,NUM,31)</f>
        <v>31</v>
      </c>
      <c r="N18" s="102">
        <f>VLOOKUP($A$1,NUM,33)</f>
        <v>33</v>
      </c>
      <c r="O18" s="138"/>
      <c r="P18" s="73"/>
      <c r="Q18" s="73"/>
      <c r="R18" s="100">
        <f>R16+9</f>
        <v>56</v>
      </c>
      <c r="S18" s="100"/>
      <c r="T18" s="12">
        <f>T16+9</f>
        <v>57</v>
      </c>
      <c r="U18" s="11">
        <f>U16+9</f>
        <v>58</v>
      </c>
      <c r="V18" s="11">
        <f>V16+9</f>
        <v>59</v>
      </c>
      <c r="W18" s="11"/>
      <c r="X18" s="11">
        <f>X16+9</f>
        <v>60</v>
      </c>
      <c r="Y18" s="122"/>
      <c r="Z18" s="98">
        <f>Z16+9</f>
        <v>61</v>
      </c>
      <c r="AA18" s="99"/>
      <c r="AB18" s="99"/>
      <c r="AC18" s="99"/>
      <c r="AD18" s="11">
        <f>AD16+9</f>
        <v>63</v>
      </c>
      <c r="AE18" s="11">
        <f>AE16+9</f>
        <v>64</v>
      </c>
    </row>
    <row r="19" spans="1:34" ht="15" customHeight="1" x14ac:dyDescent="0.25">
      <c r="A19" s="151">
        <f>B18</f>
        <v>21</v>
      </c>
      <c r="B19" s="155" t="str">
        <f>LEFT(CONCATENATE(C18,D18,C18,F18,G18),4)</f>
        <v>1213</v>
      </c>
      <c r="C19" s="152" t="str">
        <f>MID(CONCATENATE($C$18,TEXT($D$18,"00000"),TEXT($E$18,"00000000000"),TEXT($G$18,"00")),5,4)</f>
        <v>0130</v>
      </c>
      <c r="D19" s="152" t="str">
        <f>MID(CONCATENATE($C$18,TEXT($D$18,"00000"),TEXT($E$18,"00000000000"),TEXT($G$18,"00")),9,4)</f>
        <v>0000</v>
      </c>
      <c r="E19" s="152" t="str">
        <f>MID(CONCATENATE($C$18,TEXT($D$18,"00000"),TEXT($E$18,"00000000000"),TEXT($G$18,"00")),13,4)</f>
        <v>0000</v>
      </c>
      <c r="F19" s="152" t="str">
        <f>MID(CONCATENATE($C$18,TEXT($D$18,"00000"),TEXT($E$18,"00000000000"),TEXT($G$18,"00")),17,4)</f>
        <v>1415</v>
      </c>
      <c r="G19" s="152" t="str">
        <f>RIGHT(CONCATENATE($C$18,TEXT($D$18,"00000"),TEXT($E$18,"00000000000"),TEXT($G$18,"00")),3)</f>
        <v>415</v>
      </c>
      <c r="H19" s="19"/>
      <c r="I19" s="20"/>
      <c r="J19" s="19"/>
      <c r="K19" s="19"/>
      <c r="L19" s="19"/>
      <c r="M19" s="135"/>
      <c r="N19" s="103"/>
      <c r="O19" s="139"/>
      <c r="P19" s="136"/>
      <c r="Q19" s="73"/>
      <c r="R19" s="118" t="e">
        <f>VLOOKUP($A$1,PART,R18)</f>
        <v>#REF!</v>
      </c>
      <c r="S19" s="118"/>
      <c r="T19" s="119" t="e">
        <f>VLOOKUP($A$1,PART,T18)</f>
        <v>#REF!</v>
      </c>
      <c r="U19" s="7" t="e">
        <f>VLOOKUP($A$1,PART,U18)</f>
        <v>#REF!</v>
      </c>
      <c r="V19" s="119" t="e">
        <f>VLOOKUP($A$1,PART,V18)</f>
        <v>#REF!</v>
      </c>
      <c r="W19" s="119"/>
      <c r="X19" s="119" t="e">
        <f>VLOOKUP($A$1,PART,X18)</f>
        <v>#REF!</v>
      </c>
      <c r="Y19" s="119"/>
      <c r="Z19" s="120" t="e">
        <f>IF(LEN(VLOOKUP($A$1,PART,Z18))=0,"",VLOOKUP($A$1,PART,Z18))</f>
        <v>#REF!</v>
      </c>
      <c r="AA19" s="120"/>
      <c r="AB19" s="120"/>
      <c r="AC19" s="120"/>
      <c r="AD19" s="119" t="e">
        <f>VLOOKUP($A$1,PART,AD18)</f>
        <v>#REF!</v>
      </c>
      <c r="AE19" s="7" t="e">
        <f>VLOOKUP($A$1,PART,AE18)</f>
        <v>#REF!</v>
      </c>
    </row>
    <row r="20" spans="1:34" ht="15" customHeight="1" x14ac:dyDescent="0.25">
      <c r="A20" s="150" t="e">
        <f>IF(C20&gt;0,VLOOKUP(C20,BANK,3),"")</f>
        <v>#REF!</v>
      </c>
      <c r="B20" s="146">
        <f>IF(LEN(C20)=1,"",VLOOKUP($A$1,NUM,21))</f>
        <v>21</v>
      </c>
      <c r="C20" s="147">
        <f>VLOOKUP($A$1,NUM,22)</f>
        <v>22</v>
      </c>
      <c r="D20" s="148">
        <f>VLOOKUP($A$1,NUM,23)</f>
        <v>23</v>
      </c>
      <c r="E20" s="229">
        <f>VLOOKUP($A$1,NUM,24)</f>
        <v>24</v>
      </c>
      <c r="F20" s="229"/>
      <c r="G20" s="147">
        <f>VLOOKUP($A$1,NUM,25)</f>
        <v>25</v>
      </c>
      <c r="H20" s="147">
        <f>VLOOKUP($A$1,NUM,26)</f>
        <v>26</v>
      </c>
      <c r="I20" s="147">
        <f>VLOOKUP($A$1,NUM,27)</f>
        <v>27</v>
      </c>
      <c r="J20" s="147">
        <f>VLOOKUP($A$1,NUM,28)</f>
        <v>28</v>
      </c>
      <c r="K20" s="147">
        <f>VLOOKUP($A$1,NUM,29)</f>
        <v>29</v>
      </c>
      <c r="L20" s="149">
        <f>VLOOKUP($A$1,NUM,30)</f>
        <v>30</v>
      </c>
      <c r="M20" s="135">
        <f>VLOOKUP($A$1,NUM,32)</f>
        <v>32</v>
      </c>
      <c r="N20" s="140">
        <f>VLOOKUP($A$1,NUM,34)</f>
        <v>34</v>
      </c>
      <c r="O20" s="73"/>
      <c r="P20" s="73"/>
      <c r="Q20" s="73"/>
      <c r="R20" s="145"/>
      <c r="S20" s="145"/>
      <c r="T20" s="144"/>
      <c r="U20" s="7"/>
      <c r="V20" s="144"/>
      <c r="W20" s="144"/>
      <c r="X20" s="144"/>
      <c r="Y20" s="144"/>
      <c r="Z20" s="143"/>
      <c r="AA20" s="143"/>
      <c r="AB20" s="143"/>
      <c r="AC20" s="143"/>
      <c r="AD20" s="144"/>
      <c r="AE20" s="7"/>
    </row>
    <row r="21" spans="1:34" ht="15.75" thickBot="1" x14ac:dyDescent="0.3">
      <c r="A21" s="153">
        <f>IF(ISBLANK(B20),"",B20)</f>
        <v>21</v>
      </c>
      <c r="B21" s="156" t="str">
        <f>IF(LEN(B20)&lt;5,"",LEFT(CONCATENATE(C20,D20,C20,F20,G20),4))</f>
        <v/>
      </c>
      <c r="C21" s="154" t="str">
        <f>IF(LEN(B20)&lt;5,"",MID(CONCATENATE($C$20,TEXT($D$20,"00000"),TEXT($E$20,"00000000000"),TEXT($G$20,"00")),5,4))</f>
        <v/>
      </c>
      <c r="D21" s="154" t="str">
        <f>IF(LEN(B20)&lt;5,"",MID(CONCATENATE($C$20,TEXT($D$20,"00000"),TEXT($E$20,"00000000000"),TEXT($G$20,"00")),9,4))</f>
        <v/>
      </c>
      <c r="E21" s="154" t="str">
        <f>IF(LEN(B20)&lt;5,"",MID(CONCATENATE($C$20,TEXT($D$20,"00000"),TEXT($E$20,"00000000000"),TEXT($G$20,"00")),13,4))</f>
        <v/>
      </c>
      <c r="F21" s="154" t="str">
        <f>IF(LEN(B20)&lt;5,"",MID(CONCATENATE($C$20,TEXT($D$20,"00000"),TEXT($E$20,"00000000000"),TEXT($G$20,"00")),17,4))</f>
        <v/>
      </c>
      <c r="G21" s="154" t="str">
        <f>IF(LEN(B20)&lt;5,"",RIGHT(CONCATENATE($C$20,TEXT($D$20,"00000"),TEXT($E$20,"00000000000"),TEXT($G$20,"00")),3))</f>
        <v/>
      </c>
      <c r="H21" s="25"/>
      <c r="I21" s="25"/>
      <c r="J21" s="25"/>
      <c r="K21" s="25"/>
      <c r="L21" s="106">
        <f>VLOOKUP($A$1,NUM,30)</f>
        <v>30</v>
      </c>
      <c r="M21" s="142">
        <f>VLOOKUP($A$1,NUM,32)</f>
        <v>32</v>
      </c>
      <c r="N21" s="140">
        <f>VLOOKUP($A$1,NUM,34)</f>
        <v>34</v>
      </c>
      <c r="O21" s="73"/>
      <c r="P21" s="73"/>
      <c r="Q21" s="73"/>
    </row>
    <row r="22" spans="1:34" ht="11.25" customHeight="1" thickBot="1" x14ac:dyDescent="0.3">
      <c r="N22" s="141"/>
    </row>
    <row r="23" spans="1:34" x14ac:dyDescent="0.25">
      <c r="A23" s="204" t="s">
        <v>49</v>
      </c>
      <c r="B23" s="205"/>
      <c r="C23" s="205"/>
      <c r="D23" s="205" t="s">
        <v>50</v>
      </c>
      <c r="E23" s="205"/>
      <c r="F23" s="205" t="s">
        <v>51</v>
      </c>
      <c r="G23" s="205"/>
      <c r="H23" s="54" t="s">
        <v>6</v>
      </c>
      <c r="I23" s="205" t="s">
        <v>52</v>
      </c>
      <c r="J23" s="205"/>
      <c r="K23" s="205" t="s">
        <v>53</v>
      </c>
      <c r="L23" s="205"/>
      <c r="M23" s="205" t="s">
        <v>54</v>
      </c>
      <c r="N23" s="205"/>
      <c r="O23" s="205" t="s">
        <v>57</v>
      </c>
      <c r="P23" s="213"/>
      <c r="Q23" s="75" t="s">
        <v>73</v>
      </c>
      <c r="R23" s="14"/>
      <c r="S23" s="258" t="s">
        <v>55</v>
      </c>
      <c r="T23" s="259"/>
      <c r="U23" s="26" t="s">
        <v>56</v>
      </c>
      <c r="V23" s="27" t="s">
        <v>65</v>
      </c>
      <c r="W23" s="81" t="s">
        <v>73</v>
      </c>
      <c r="Y23" s="251" t="s">
        <v>67</v>
      </c>
      <c r="Z23" s="252"/>
      <c r="AA23" s="252"/>
      <c r="AB23" s="88" t="s">
        <v>66</v>
      </c>
      <c r="AC23" s="252" t="s">
        <v>5</v>
      </c>
      <c r="AD23" s="253"/>
      <c r="AE23" s="93"/>
      <c r="AF23" s="244" t="s">
        <v>18</v>
      </c>
      <c r="AG23" s="244"/>
      <c r="AH23" s="70" t="s">
        <v>64</v>
      </c>
    </row>
    <row r="24" spans="1:34" ht="8.25" customHeight="1" x14ac:dyDescent="0.25">
      <c r="A24" s="55"/>
      <c r="B24" s="37"/>
      <c r="C24" s="37"/>
      <c r="D24" s="37"/>
      <c r="E24" s="37"/>
      <c r="F24" s="37"/>
      <c r="G24" s="37"/>
      <c r="H24" s="38"/>
      <c r="I24" s="37"/>
      <c r="J24" s="37"/>
      <c r="K24" s="37"/>
      <c r="L24" s="37"/>
      <c r="M24" s="37"/>
      <c r="N24" s="37"/>
      <c r="O24" s="37"/>
      <c r="P24" s="56"/>
      <c r="Q24" s="76"/>
      <c r="R24" s="5"/>
      <c r="S24" s="28"/>
      <c r="T24" s="29"/>
      <c r="U24" s="30"/>
      <c r="V24" s="31"/>
      <c r="W24" s="81"/>
      <c r="Y24" s="89"/>
      <c r="Z24" s="39"/>
      <c r="AA24" s="39"/>
      <c r="AB24" s="39"/>
      <c r="AC24" s="39"/>
      <c r="AD24" s="90"/>
      <c r="AE24" s="93"/>
      <c r="AF24" s="93"/>
      <c r="AG24" s="11">
        <v>62</v>
      </c>
      <c r="AH24" s="12">
        <v>63</v>
      </c>
    </row>
    <row r="25" spans="1:34" ht="15" hidden="1" customHeight="1" x14ac:dyDescent="0.25">
      <c r="A25" s="57"/>
      <c r="B25" s="39">
        <v>2</v>
      </c>
      <c r="C25" s="39"/>
      <c r="D25" s="39"/>
      <c r="E25" s="39">
        <v>3</v>
      </c>
      <c r="F25" s="39"/>
      <c r="G25" s="39">
        <v>4</v>
      </c>
      <c r="H25" s="39">
        <v>52</v>
      </c>
      <c r="I25" s="39"/>
      <c r="J25" s="39">
        <v>7</v>
      </c>
      <c r="K25" s="39"/>
      <c r="L25" s="39">
        <v>8</v>
      </c>
      <c r="M25" s="39"/>
      <c r="N25" s="39">
        <v>9</v>
      </c>
      <c r="O25" s="39"/>
      <c r="P25" s="58">
        <v>11</v>
      </c>
      <c r="Q25" s="77"/>
      <c r="S25" s="32">
        <v>5</v>
      </c>
      <c r="T25" s="29"/>
      <c r="U25" s="30">
        <v>6</v>
      </c>
      <c r="V25" s="31"/>
      <c r="W25" s="81"/>
      <c r="Y25" s="89">
        <v>72</v>
      </c>
      <c r="Z25" s="39"/>
      <c r="AA25" s="39"/>
      <c r="AB25" s="39"/>
      <c r="AC25" s="39"/>
      <c r="AD25" s="90"/>
      <c r="AE25" s="93"/>
      <c r="AF25" s="93"/>
      <c r="AH25" s="71"/>
    </row>
    <row r="26" spans="1:34" x14ac:dyDescent="0.25">
      <c r="A26" s="186" t="e">
        <f>VLOOKUP($A$1,PERS,B25)</f>
        <v>#REF!</v>
      </c>
      <c r="B26" s="187"/>
      <c r="C26" s="187"/>
      <c r="D26" s="201" t="e">
        <f>VLOOKUP($A$1,PERS,E25)</f>
        <v>#REF!</v>
      </c>
      <c r="E26" s="201"/>
      <c r="F26" s="201" t="e">
        <f>VLOOKUP($A$1,PERS,G25)</f>
        <v>#REF!</v>
      </c>
      <c r="G26" s="201"/>
      <c r="H26" s="65" t="e">
        <f>IF(LEN(VLOOKUP($A$1,PERS,H25))=0,"",HYPERLINK("mailto:"&amp;VLOOKUP($A$1,PERS,H25)&amp;""))</f>
        <v>#REF!</v>
      </c>
      <c r="I26" s="202" t="e">
        <f>VLOOKUP($A$1,PERS,J25)</f>
        <v>#REF!</v>
      </c>
      <c r="J26" s="202"/>
      <c r="K26" s="202" t="e">
        <f>VLOOKUP($A$1,PERS,L25)</f>
        <v>#REF!</v>
      </c>
      <c r="L26" s="202"/>
      <c r="M26" s="203" t="e">
        <f>VLOOKUP($A$1,PERS,N25)</f>
        <v>#REF!</v>
      </c>
      <c r="N26" s="203"/>
      <c r="O26" s="194" t="e">
        <f>VLOOKUP($A$1,PERS,P25)</f>
        <v>#REF!</v>
      </c>
      <c r="P26" s="195"/>
      <c r="Q26" s="74" t="e">
        <f>VLOOKUP($A$1,PERS,107)</f>
        <v>#REF!</v>
      </c>
      <c r="R26" s="15"/>
      <c r="S26" s="190" t="e">
        <f>VLOOKUP($A$1,PERS,S25)</f>
        <v>#REF!</v>
      </c>
      <c r="T26" s="191"/>
      <c r="U26" s="33" t="e">
        <f>VLOOKUP($A$1,PERS,U25)</f>
        <v>#REF!</v>
      </c>
      <c r="V26" s="34" t="e">
        <f>VLOOKUP($A$1,PERS,57)</f>
        <v>#REF!</v>
      </c>
      <c r="W26" s="80" t="e">
        <f>VLOOKUP($A$1,PERS,112)</f>
        <v>#REF!</v>
      </c>
      <c r="Y26" s="245" t="e">
        <f>IF(VLOOKUP($A$1,PERS,Y25)&gt;0,DATE(MID(S26,2,2),MID(S26,4,2),VLOOKUP($A$1,PERS,Y25)),0)</f>
        <v>#REF!</v>
      </c>
      <c r="Z26" s="246"/>
      <c r="AA26" s="246"/>
      <c r="AB26" s="62" t="e">
        <f>MID(S26,6,2)</f>
        <v>#REF!</v>
      </c>
      <c r="AC26" s="254" t="e">
        <f>IF(LEN(AB26)=0,"",VLOOKUP((MID(S26,6,2)*1000)+MID(S26,8,3),COMM,4))</f>
        <v>#REF!</v>
      </c>
      <c r="AD26" s="255"/>
      <c r="AE26" s="94"/>
      <c r="AF26" s="244" t="e">
        <f>VLOOKUP($A$1,PERS,AG24)</f>
        <v>#REF!</v>
      </c>
      <c r="AG26" s="244"/>
      <c r="AH26" s="70" t="e">
        <f>VLOOKUP($A$1,PERS,AH24)</f>
        <v>#REF!</v>
      </c>
    </row>
    <row r="27" spans="1:34" ht="8.25" customHeight="1" x14ac:dyDescent="0.25">
      <c r="A27" s="59"/>
      <c r="B27" s="38"/>
      <c r="C27" s="38"/>
      <c r="D27" s="37"/>
      <c r="E27" s="37"/>
      <c r="F27" s="37"/>
      <c r="G27" s="37"/>
      <c r="H27" s="40"/>
      <c r="I27" s="41"/>
      <c r="J27" s="41"/>
      <c r="K27" s="41"/>
      <c r="L27" s="41"/>
      <c r="M27" s="41"/>
      <c r="N27" s="41"/>
      <c r="O27" s="41"/>
      <c r="P27" s="60"/>
      <c r="Q27" s="78"/>
      <c r="S27" s="83"/>
      <c r="T27" s="72"/>
      <c r="U27" s="84"/>
      <c r="V27" s="85"/>
      <c r="W27" s="86"/>
      <c r="Y27" s="89"/>
      <c r="Z27" s="39"/>
      <c r="AA27" s="39"/>
      <c r="AB27" s="39"/>
      <c r="AC27" s="38"/>
      <c r="AD27" s="91"/>
      <c r="AE27" s="95"/>
      <c r="AF27" s="95"/>
      <c r="AG27" s="11">
        <f>AG24+2</f>
        <v>64</v>
      </c>
      <c r="AH27" s="12">
        <f>AH24+2</f>
        <v>65</v>
      </c>
    </row>
    <row r="28" spans="1:34" ht="15" hidden="1" customHeight="1" x14ac:dyDescent="0.25">
      <c r="A28" s="57"/>
      <c r="B28" s="39">
        <f>B25+10</f>
        <v>12</v>
      </c>
      <c r="C28" s="39"/>
      <c r="D28" s="39"/>
      <c r="E28" s="39">
        <f>E25+10</f>
        <v>13</v>
      </c>
      <c r="F28" s="39"/>
      <c r="G28" s="39">
        <f>G25+10</f>
        <v>14</v>
      </c>
      <c r="H28" s="39">
        <v>53</v>
      </c>
      <c r="I28" s="39"/>
      <c r="J28" s="39">
        <f>J25+10</f>
        <v>17</v>
      </c>
      <c r="K28" s="39"/>
      <c r="L28" s="39">
        <f>L25+10</f>
        <v>18</v>
      </c>
      <c r="M28" s="39"/>
      <c r="N28" s="39">
        <f>N25+10</f>
        <v>19</v>
      </c>
      <c r="O28" s="39"/>
      <c r="P28" s="58">
        <f>P25+10</f>
        <v>21</v>
      </c>
      <c r="Q28" s="79"/>
      <c r="S28" s="28">
        <f>S25+10</f>
        <v>15</v>
      </c>
      <c r="T28" s="29"/>
      <c r="U28" s="30">
        <f>U25+10</f>
        <v>16</v>
      </c>
      <c r="V28" s="31"/>
      <c r="W28" s="82"/>
      <c r="Y28" s="89">
        <v>73</v>
      </c>
      <c r="Z28" s="39"/>
      <c r="AA28" s="39"/>
      <c r="AB28" s="39"/>
      <c r="AC28" s="38"/>
      <c r="AD28" s="91"/>
      <c r="AE28" s="95"/>
      <c r="AF28" s="95"/>
      <c r="AH28" s="71"/>
    </row>
    <row r="29" spans="1:34" x14ac:dyDescent="0.25">
      <c r="A29" s="186" t="e">
        <f>VLOOKUP($A$1,PERS,B28)</f>
        <v>#REF!</v>
      </c>
      <c r="B29" s="187"/>
      <c r="C29" s="187"/>
      <c r="D29" s="201" t="e">
        <f>VLOOKUP($A$1,PERS,E28)</f>
        <v>#REF!</v>
      </c>
      <c r="E29" s="201"/>
      <c r="F29" s="201" t="e">
        <f>VLOOKUP($A$1,PERS,G28)</f>
        <v>#REF!</v>
      </c>
      <c r="G29" s="201"/>
      <c r="H29" s="42" t="e">
        <f>IF(LEN(VLOOKUP($A$1,PERS,H28))=0,"",HYPERLINK("mailto:"&amp;VLOOKUP($A$1,PERS,H28)&amp;""))</f>
        <v>#REF!</v>
      </c>
      <c r="I29" s="202" t="e">
        <f>VLOOKUP($A$1,PERS,J28)</f>
        <v>#REF!</v>
      </c>
      <c r="J29" s="202"/>
      <c r="K29" s="202" t="e">
        <f>VLOOKUP($A$1,PERS,L28)</f>
        <v>#REF!</v>
      </c>
      <c r="L29" s="202"/>
      <c r="M29" s="203" t="e">
        <f>VLOOKUP($A$1,PERS,N28)</f>
        <v>#REF!</v>
      </c>
      <c r="N29" s="203"/>
      <c r="O29" s="194" t="e">
        <f>VLOOKUP($A$1,PERS,P28)</f>
        <v>#REF!</v>
      </c>
      <c r="P29" s="195"/>
      <c r="Q29" s="74" t="e">
        <f>VLOOKUP($A$1,PERS,108)</f>
        <v>#REF!</v>
      </c>
      <c r="R29" s="15"/>
      <c r="S29" s="190" t="e">
        <f>VLOOKUP($A$1,PERS,S28)</f>
        <v>#REF!</v>
      </c>
      <c r="T29" s="191"/>
      <c r="U29" s="33" t="e">
        <f>VLOOKUP($A$1,PERS,U28)</f>
        <v>#REF!</v>
      </c>
      <c r="V29" s="34" t="e">
        <f>VLOOKUP($A$1,PERS,58)</f>
        <v>#REF!</v>
      </c>
      <c r="W29" s="80" t="e">
        <f>VLOOKUP($A$1,PERS,113)</f>
        <v>#REF!</v>
      </c>
      <c r="Y29" s="245" t="e">
        <f>IF(VLOOKUP($A$1,PERS,Y28)&gt;0,DATE(MID(S29,2,2),MID(S29,4,2),VLOOKUP($A$1,PERS,Y28)),0)</f>
        <v>#REF!</v>
      </c>
      <c r="Z29" s="246"/>
      <c r="AA29" s="246"/>
      <c r="AB29" s="62" t="e">
        <f>MID(S29,6,2)</f>
        <v>#REF!</v>
      </c>
      <c r="AC29" s="254" t="e">
        <f>IF(LEN(AB29)=0,"",VLOOKUP((MID(S29,6,2)*1000)+MID(S29,8,3),COMM,4))</f>
        <v>#REF!</v>
      </c>
      <c r="AD29" s="255"/>
      <c r="AE29" s="94"/>
      <c r="AF29" s="244" t="e">
        <f>VLOOKUP($A$1,PERS,AG27)</f>
        <v>#REF!</v>
      </c>
      <c r="AG29" s="244"/>
      <c r="AH29" s="70" t="e">
        <f>VLOOKUP($A$1,PERS,AH27)</f>
        <v>#REF!</v>
      </c>
    </row>
    <row r="30" spans="1:34" ht="8.25" customHeight="1" x14ac:dyDescent="0.25">
      <c r="A30" s="57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58"/>
      <c r="Q30" s="79"/>
      <c r="S30" s="87"/>
      <c r="T30" s="73"/>
      <c r="U30" s="72"/>
      <c r="V30" s="85"/>
      <c r="W30" s="86"/>
      <c r="Y30" s="89"/>
      <c r="Z30" s="39"/>
      <c r="AA30" s="39"/>
      <c r="AB30" s="39"/>
      <c r="AC30" s="38"/>
      <c r="AD30" s="91"/>
      <c r="AE30" s="95"/>
      <c r="AF30" s="95"/>
      <c r="AH30" s="71"/>
    </row>
    <row r="31" spans="1:34" ht="15" hidden="1" customHeight="1" x14ac:dyDescent="0.25">
      <c r="A31" s="57"/>
      <c r="B31" s="39">
        <f>B28+10</f>
        <v>22</v>
      </c>
      <c r="C31" s="39"/>
      <c r="D31" s="39"/>
      <c r="E31" s="39">
        <f>E28+10</f>
        <v>23</v>
      </c>
      <c r="F31" s="39"/>
      <c r="G31" s="39">
        <f>G28+10</f>
        <v>24</v>
      </c>
      <c r="H31" s="39">
        <v>54</v>
      </c>
      <c r="I31" s="39"/>
      <c r="J31" s="39">
        <f>J28+10</f>
        <v>27</v>
      </c>
      <c r="K31" s="39"/>
      <c r="L31" s="39">
        <f>L28+10</f>
        <v>28</v>
      </c>
      <c r="M31" s="39"/>
      <c r="N31" s="39">
        <f>N28+10</f>
        <v>29</v>
      </c>
      <c r="O31" s="39"/>
      <c r="P31" s="58">
        <f>P28+10</f>
        <v>31</v>
      </c>
      <c r="Q31" s="79"/>
      <c r="S31" s="28">
        <f>S28+10</f>
        <v>25</v>
      </c>
      <c r="T31" s="29"/>
      <c r="U31" s="30">
        <f>U28+10</f>
        <v>26</v>
      </c>
      <c r="V31" s="31"/>
      <c r="W31" s="82"/>
      <c r="Y31" s="89">
        <v>74</v>
      </c>
      <c r="Z31" s="39"/>
      <c r="AA31" s="39"/>
      <c r="AB31" s="39"/>
      <c r="AC31" s="38"/>
      <c r="AD31" s="91"/>
      <c r="AE31" s="95"/>
      <c r="AF31" s="95"/>
      <c r="AG31" s="11">
        <f>AG27+2</f>
        <v>66</v>
      </c>
      <c r="AH31" s="12">
        <f>AH27+2</f>
        <v>67</v>
      </c>
    </row>
    <row r="32" spans="1:34" x14ac:dyDescent="0.25">
      <c r="A32" s="186" t="e">
        <f>VLOOKUP($A$1,PERS,B31)</f>
        <v>#REF!</v>
      </c>
      <c r="B32" s="187"/>
      <c r="C32" s="187"/>
      <c r="D32" s="201" t="e">
        <f>VLOOKUP($A$1,PERS,E31)</f>
        <v>#REF!</v>
      </c>
      <c r="E32" s="201"/>
      <c r="F32" s="201" t="e">
        <f>VLOOKUP($A$1,PERS,G31)</f>
        <v>#REF!</v>
      </c>
      <c r="G32" s="201"/>
      <c r="H32" s="42" t="e">
        <f>IF(LEN(VLOOKUP($A$1,PERS,H31))=0,"",HYPERLINK("mailto:"&amp;VLOOKUP($A$1,PERS,H31)&amp;""))</f>
        <v>#REF!</v>
      </c>
      <c r="I32" s="202" t="e">
        <f>VLOOKUP($A$1,PERS,J31)</f>
        <v>#REF!</v>
      </c>
      <c r="J32" s="202"/>
      <c r="K32" s="202" t="e">
        <f>VLOOKUP($A$1,PERS,L31)</f>
        <v>#REF!</v>
      </c>
      <c r="L32" s="202"/>
      <c r="M32" s="203" t="e">
        <f>VLOOKUP($A$1,PERS,N31)</f>
        <v>#REF!</v>
      </c>
      <c r="N32" s="203"/>
      <c r="O32" s="194" t="e">
        <f>VLOOKUP($A$1,PERS,P31)</f>
        <v>#REF!</v>
      </c>
      <c r="P32" s="195"/>
      <c r="Q32" s="74" t="e">
        <f>VLOOKUP($A$1,PERS,109)</f>
        <v>#REF!</v>
      </c>
      <c r="R32" s="15"/>
      <c r="S32" s="190" t="e">
        <f>VLOOKUP($A$1,PERS,S31)</f>
        <v>#REF!</v>
      </c>
      <c r="T32" s="191"/>
      <c r="U32" s="33" t="e">
        <f>VLOOKUP($A$1,PERS,U31)</f>
        <v>#REF!</v>
      </c>
      <c r="V32" s="34" t="e">
        <f>VLOOKUP($A$1,PERS,59)</f>
        <v>#REF!</v>
      </c>
      <c r="W32" s="80" t="e">
        <f>VLOOKUP($A$1,PERS,114)</f>
        <v>#REF!</v>
      </c>
      <c r="Y32" s="245" t="e">
        <f>IF(VLOOKUP($A$1,PERS,Y31)&gt;0,DATE(MID(S32,2,2),MID(S32,4,2),VLOOKUP($A$1,PERS,Y31)),0)</f>
        <v>#REF!</v>
      </c>
      <c r="Z32" s="246"/>
      <c r="AA32" s="246"/>
      <c r="AB32" s="62" t="e">
        <f>MID(S32,6,2)</f>
        <v>#REF!</v>
      </c>
      <c r="AC32" s="256" t="e">
        <f>IF(LEN(AB32)=0,"",VLOOKUP((MID(S32,6,2)*1000)+MID(S32,8,3),COMM,4))</f>
        <v>#REF!</v>
      </c>
      <c r="AD32" s="257"/>
      <c r="AE32" s="95"/>
      <c r="AF32" s="244" t="e">
        <f>VLOOKUP($A$1,PERS,AG31)</f>
        <v>#REF!</v>
      </c>
      <c r="AG32" s="244"/>
      <c r="AH32" s="70" t="e">
        <f>VLOOKUP($A$1,PERS,AH31)</f>
        <v>#REF!</v>
      </c>
    </row>
    <row r="33" spans="1:34" ht="8.25" customHeight="1" x14ac:dyDescent="0.25">
      <c r="A33" s="57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58"/>
      <c r="Q33" s="79"/>
      <c r="S33" s="87"/>
      <c r="T33" s="73"/>
      <c r="U33" s="72"/>
      <c r="V33" s="85"/>
      <c r="W33" s="86"/>
      <c r="Y33" s="89"/>
      <c r="Z33" s="39"/>
      <c r="AA33" s="39"/>
      <c r="AB33" s="39"/>
      <c r="AC33" s="38"/>
      <c r="AD33" s="91"/>
      <c r="AE33" s="95"/>
      <c r="AF33" s="95"/>
      <c r="AH33" s="71"/>
    </row>
    <row r="34" spans="1:34" ht="15" hidden="1" customHeight="1" x14ac:dyDescent="0.25">
      <c r="A34" s="57"/>
      <c r="B34" s="39">
        <f>B31+10</f>
        <v>32</v>
      </c>
      <c r="C34" s="39"/>
      <c r="D34" s="39"/>
      <c r="E34" s="39">
        <f>E31+10</f>
        <v>33</v>
      </c>
      <c r="F34" s="39"/>
      <c r="G34" s="39">
        <f>G31+10</f>
        <v>34</v>
      </c>
      <c r="H34" s="39">
        <v>55</v>
      </c>
      <c r="I34" s="39"/>
      <c r="J34" s="39">
        <f>J31+10</f>
        <v>37</v>
      </c>
      <c r="K34" s="39"/>
      <c r="L34" s="39">
        <f>L31+10</f>
        <v>38</v>
      </c>
      <c r="M34" s="39"/>
      <c r="N34" s="39">
        <f>N31+10</f>
        <v>39</v>
      </c>
      <c r="O34" s="39"/>
      <c r="P34" s="58">
        <f>P31+10</f>
        <v>41</v>
      </c>
      <c r="Q34" s="79"/>
      <c r="S34" s="28">
        <f>S31+10</f>
        <v>35</v>
      </c>
      <c r="T34" s="29"/>
      <c r="U34" s="30">
        <f>U31+10</f>
        <v>36</v>
      </c>
      <c r="V34" s="31"/>
      <c r="W34" s="82"/>
      <c r="Y34" s="89">
        <v>75</v>
      </c>
      <c r="Z34" s="39"/>
      <c r="AA34" s="39"/>
      <c r="AB34" s="39"/>
      <c r="AC34" s="38"/>
      <c r="AD34" s="91"/>
      <c r="AE34" s="95"/>
      <c r="AF34" s="95"/>
      <c r="AG34" s="11">
        <f>AG31+2</f>
        <v>68</v>
      </c>
      <c r="AH34" s="12">
        <f>AH31+2</f>
        <v>69</v>
      </c>
    </row>
    <row r="35" spans="1:34" x14ac:dyDescent="0.25">
      <c r="A35" s="186" t="e">
        <f>VLOOKUP($A$1,PERS,B34)</f>
        <v>#REF!</v>
      </c>
      <c r="B35" s="187"/>
      <c r="C35" s="187"/>
      <c r="D35" s="201" t="e">
        <f>VLOOKUP($A$1,PERS,E34)</f>
        <v>#REF!</v>
      </c>
      <c r="E35" s="201"/>
      <c r="F35" s="201" t="e">
        <f>VLOOKUP($A$1,PERS,G34)</f>
        <v>#REF!</v>
      </c>
      <c r="G35" s="201"/>
      <c r="H35" s="42" t="e">
        <f>IF(LEN(VLOOKUP($A$1,PERS,H34))=0,"",HYPERLINK("mailto:"&amp;VLOOKUP($A$1,PERS,H34)&amp;""))</f>
        <v>#REF!</v>
      </c>
      <c r="I35" s="202" t="e">
        <f>VLOOKUP($A$1,PERS,J34)</f>
        <v>#REF!</v>
      </c>
      <c r="J35" s="202"/>
      <c r="K35" s="202" t="e">
        <f>VLOOKUP($A$1,PERS,L34)</f>
        <v>#REF!</v>
      </c>
      <c r="L35" s="202"/>
      <c r="M35" s="203" t="e">
        <f>VLOOKUP($A$1,PERS,N34)</f>
        <v>#REF!</v>
      </c>
      <c r="N35" s="203"/>
      <c r="O35" s="194" t="e">
        <f>VLOOKUP($A$1,PERS,P34)</f>
        <v>#REF!</v>
      </c>
      <c r="P35" s="195"/>
      <c r="Q35" s="74" t="e">
        <f>VLOOKUP($A$1,PERS,110)</f>
        <v>#REF!</v>
      </c>
      <c r="R35" s="15"/>
      <c r="S35" s="190" t="e">
        <f>VLOOKUP($A$1,PERS,S34)</f>
        <v>#REF!</v>
      </c>
      <c r="T35" s="191"/>
      <c r="U35" s="33" t="e">
        <f>VLOOKUP($A$1,PERS,U34)</f>
        <v>#REF!</v>
      </c>
      <c r="V35" s="34" t="e">
        <f>VLOOKUP($A$1,PERS,60)</f>
        <v>#REF!</v>
      </c>
      <c r="W35" s="80" t="e">
        <f>VLOOKUP($A$1,PERS,115)</f>
        <v>#REF!</v>
      </c>
      <c r="Y35" s="245" t="e">
        <f>IF(VLOOKUP($A$1,PERS,Y34)&gt;0,DATE(MID(S35,2,2),MID(S35,4,2),VLOOKUP($A$1,PERS,Y34)),0)</f>
        <v>#REF!</v>
      </c>
      <c r="Z35" s="246"/>
      <c r="AA35" s="246"/>
      <c r="AB35" s="62" t="e">
        <f>MID(S35,6,2)</f>
        <v>#REF!</v>
      </c>
      <c r="AC35" s="256" t="e">
        <f>IF(LEN(AB35)=0,"",VLOOKUP((MID(S35,6,2)*1000)+MID(S35,8,3),COMM,4))</f>
        <v>#REF!</v>
      </c>
      <c r="AD35" s="257"/>
      <c r="AE35" s="95"/>
      <c r="AF35" s="244" t="e">
        <f>VLOOKUP($A$1,PERS,AG34)</f>
        <v>#REF!</v>
      </c>
      <c r="AG35" s="244"/>
      <c r="AH35" s="70" t="e">
        <f>VLOOKUP($A$1,PERS,AH34)</f>
        <v>#REF!</v>
      </c>
    </row>
    <row r="36" spans="1:34" ht="8.25" customHeight="1" x14ac:dyDescent="0.25">
      <c r="A36" s="59"/>
      <c r="B36" s="38"/>
      <c r="C36" s="38"/>
      <c r="D36" s="37"/>
      <c r="E36" s="37"/>
      <c r="F36" s="37"/>
      <c r="G36" s="37"/>
      <c r="H36" s="40"/>
      <c r="I36" s="41"/>
      <c r="J36" s="41"/>
      <c r="K36" s="41"/>
      <c r="L36" s="41"/>
      <c r="M36" s="41"/>
      <c r="N36" s="41"/>
      <c r="O36" s="41"/>
      <c r="P36" s="60"/>
      <c r="Q36" s="78"/>
      <c r="S36" s="83"/>
      <c r="T36" s="72"/>
      <c r="U36" s="84"/>
      <c r="V36" s="85"/>
      <c r="W36" s="86"/>
      <c r="Y36" s="89"/>
      <c r="Z36" s="39"/>
      <c r="AA36" s="39"/>
      <c r="AB36" s="39"/>
      <c r="AC36" s="38"/>
      <c r="AD36" s="91"/>
      <c r="AE36" s="95"/>
      <c r="AF36" s="95"/>
      <c r="AG36" s="11">
        <f>AG34+2</f>
        <v>70</v>
      </c>
      <c r="AH36" s="12">
        <f>AH34+2</f>
        <v>71</v>
      </c>
    </row>
    <row r="37" spans="1:34" ht="15" hidden="1" customHeight="1" x14ac:dyDescent="0.25">
      <c r="A37" s="57"/>
      <c r="B37" s="39">
        <f>B34+10</f>
        <v>42</v>
      </c>
      <c r="C37" s="39"/>
      <c r="D37" s="39"/>
      <c r="E37" s="39">
        <f>E34+10</f>
        <v>43</v>
      </c>
      <c r="F37" s="39"/>
      <c r="G37" s="39">
        <f>G34+10</f>
        <v>44</v>
      </c>
      <c r="H37" s="39">
        <v>56</v>
      </c>
      <c r="I37" s="39"/>
      <c r="J37" s="39">
        <f>J34+10</f>
        <v>47</v>
      </c>
      <c r="K37" s="39"/>
      <c r="L37" s="39">
        <f>L34+10</f>
        <v>48</v>
      </c>
      <c r="M37" s="39"/>
      <c r="N37" s="39">
        <f>N34+10</f>
        <v>49</v>
      </c>
      <c r="O37" s="39"/>
      <c r="P37" s="58">
        <f>P34+10</f>
        <v>51</v>
      </c>
      <c r="Q37" s="79"/>
      <c r="S37" s="28">
        <f>S34+10</f>
        <v>45</v>
      </c>
      <c r="T37" s="29"/>
      <c r="U37" s="30">
        <f>U34+10</f>
        <v>46</v>
      </c>
      <c r="V37" s="31"/>
      <c r="W37" s="82"/>
      <c r="Y37" s="89">
        <v>76</v>
      </c>
      <c r="Z37" s="39"/>
      <c r="AA37" s="39"/>
      <c r="AB37" s="39"/>
      <c r="AC37" s="38"/>
      <c r="AD37" s="91"/>
      <c r="AE37" s="95"/>
      <c r="AF37" s="95"/>
      <c r="AH37" s="71"/>
    </row>
    <row r="38" spans="1:34" ht="15.75" thickBot="1" x14ac:dyDescent="0.3">
      <c r="A38" s="188" t="e">
        <f>VLOOKUP($A$1,PERS,B37)</f>
        <v>#REF!</v>
      </c>
      <c r="B38" s="189"/>
      <c r="C38" s="189"/>
      <c r="D38" s="196" t="e">
        <f>VLOOKUP($A$1,PERS,E37)</f>
        <v>#REF!</v>
      </c>
      <c r="E38" s="196"/>
      <c r="F38" s="196" t="e">
        <f>VLOOKUP($A$1,PERS,G37)</f>
        <v>#REF!</v>
      </c>
      <c r="G38" s="196"/>
      <c r="H38" s="61" t="e">
        <f>IF(LEN(VLOOKUP($A$1,PERS,H37))=0,"",HYPERLINK("mailto:"&amp;VLOOKUP($A$1,PERS,H37)&amp;""))</f>
        <v>#REF!</v>
      </c>
      <c r="I38" s="197" t="e">
        <f>VLOOKUP($A$1,PERS,J37)</f>
        <v>#REF!</v>
      </c>
      <c r="J38" s="197"/>
      <c r="K38" s="197" t="e">
        <f>VLOOKUP($A$1,PERS,L37)</f>
        <v>#REF!</v>
      </c>
      <c r="L38" s="197"/>
      <c r="M38" s="198" t="e">
        <f>VLOOKUP($A$1,PERS,N37)</f>
        <v>#REF!</v>
      </c>
      <c r="N38" s="198"/>
      <c r="O38" s="199" t="e">
        <f>VLOOKUP($A$1,PERS,P37)</f>
        <v>#REF!</v>
      </c>
      <c r="P38" s="200"/>
      <c r="Q38" s="74" t="e">
        <f>VLOOKUP($A$1,PERS,111)</f>
        <v>#REF!</v>
      </c>
      <c r="R38" s="15"/>
      <c r="S38" s="192" t="e">
        <f>VLOOKUP($A$1,PERS,S37)</f>
        <v>#REF!</v>
      </c>
      <c r="T38" s="193"/>
      <c r="U38" s="35" t="e">
        <f>VLOOKUP($A$1,PERS,U37)</f>
        <v>#REF!</v>
      </c>
      <c r="V38" s="36" t="e">
        <f>VLOOKUP($A$1,PERS,61)</f>
        <v>#REF!</v>
      </c>
      <c r="W38" s="80" t="e">
        <f>VLOOKUP($A$1,PERS,116)</f>
        <v>#REF!</v>
      </c>
      <c r="Y38" s="247" t="e">
        <f>IF(VLOOKUP($A$1,PERS,Y37)&gt;0,DATE(MID(S38,2,2),MID(S38,4,2),VLOOKUP($A$1,PERS,Y37)),0)</f>
        <v>#REF!</v>
      </c>
      <c r="Z38" s="248"/>
      <c r="AA38" s="248"/>
      <c r="AB38" s="92" t="e">
        <f>MID(S38,6,2)</f>
        <v>#REF!</v>
      </c>
      <c r="AC38" s="249" t="e">
        <f>IF(LEN(AB38)=0,"",VLOOKUP((MID(S38,6,2)*1000)+MID(S38,8,3),COMM,4))</f>
        <v>#REF!</v>
      </c>
      <c r="AD38" s="250"/>
      <c r="AE38" s="95"/>
      <c r="AF38" s="244" t="e">
        <f>VLOOKUP($A$1,PERS,AG36)</f>
        <v>#REF!</v>
      </c>
      <c r="AG38" s="244"/>
      <c r="AH38" s="70" t="e">
        <f>VLOOKUP($A$1,PERS,AH36)</f>
        <v>#REF!</v>
      </c>
    </row>
    <row r="39" spans="1:34" ht="7.5" customHeight="1" thickBot="1" x14ac:dyDescent="0.3">
      <c r="AC39" s="16"/>
    </row>
    <row r="40" spans="1:34" x14ac:dyDescent="0.25">
      <c r="A40" s="45" t="s">
        <v>69</v>
      </c>
      <c r="B40" s="184" t="s">
        <v>68</v>
      </c>
      <c r="C40" s="184"/>
      <c r="D40" s="184"/>
      <c r="E40" s="46" t="s">
        <v>67</v>
      </c>
      <c r="F40" s="46"/>
      <c r="G40" s="67" t="s">
        <v>66</v>
      </c>
      <c r="H40" s="184" t="s">
        <v>5</v>
      </c>
      <c r="I40" s="184"/>
      <c r="J40" s="184"/>
      <c r="K40" s="184"/>
      <c r="L40" s="184" t="s">
        <v>27</v>
      </c>
      <c r="M40" s="184"/>
      <c r="N40" s="184" t="s">
        <v>6</v>
      </c>
      <c r="O40" s="184"/>
      <c r="P40" s="185"/>
      <c r="Q40" s="72"/>
      <c r="S40" s="66"/>
      <c r="T40" s="63"/>
      <c r="U40" s="63"/>
      <c r="V40" s="64"/>
      <c r="W40" s="64"/>
      <c r="X40" s="39"/>
    </row>
    <row r="41" spans="1:34" ht="8.1" customHeight="1" x14ac:dyDescent="0.25">
      <c r="A41" s="47"/>
      <c r="B41" s="37"/>
      <c r="C41" s="37"/>
      <c r="D41" s="37"/>
      <c r="E41" s="39"/>
      <c r="F41" s="39"/>
      <c r="G41" s="39"/>
      <c r="H41" s="37"/>
      <c r="I41" s="37"/>
      <c r="J41" s="37"/>
      <c r="K41" s="37"/>
      <c r="L41" s="37"/>
      <c r="M41" s="37"/>
      <c r="N41" s="37"/>
      <c r="O41" s="37"/>
      <c r="P41" s="48"/>
      <c r="Q41" s="72"/>
      <c r="V41" s="64"/>
      <c r="W41" s="64"/>
      <c r="X41" s="39"/>
    </row>
    <row r="42" spans="1:34" hidden="1" x14ac:dyDescent="0.25">
      <c r="A42" s="47">
        <v>82</v>
      </c>
      <c r="B42" s="181">
        <v>77</v>
      </c>
      <c r="C42" s="181"/>
      <c r="D42" s="181"/>
      <c r="E42" s="181">
        <v>78</v>
      </c>
      <c r="F42" s="181"/>
      <c r="G42" s="39">
        <v>79</v>
      </c>
      <c r="H42" s="181">
        <v>79</v>
      </c>
      <c r="I42" s="181"/>
      <c r="J42" s="181"/>
      <c r="K42" s="181"/>
      <c r="L42" s="181">
        <v>80</v>
      </c>
      <c r="M42" s="181"/>
      <c r="N42" s="181">
        <v>81</v>
      </c>
      <c r="O42" s="181"/>
      <c r="P42" s="182"/>
      <c r="Q42" s="72"/>
    </row>
    <row r="43" spans="1:34" x14ac:dyDescent="0.25">
      <c r="A43" s="49" t="e">
        <f>VLOOKUP($A$1,PERS,A42)</f>
        <v>#REF!</v>
      </c>
      <c r="B43" s="177" t="e">
        <f>VLOOKUP($A$1,PERS,B42)</f>
        <v>#REF!</v>
      </c>
      <c r="C43" s="177"/>
      <c r="D43" s="177"/>
      <c r="E43" s="176" t="e">
        <f>IF(VLOOKUP($A$1,PERS,E42)=0,"",DATE(MID(VLOOKUP($A$1,PERS,G42),2,2),MID(VLOOKUP($A$1,PERS,G42),4,2),VLOOKUP($A$1,PERS,E42)))</f>
        <v>#REF!</v>
      </c>
      <c r="F43" s="176"/>
      <c r="G43" s="50" t="e">
        <f>MID(VLOOKUP($A$1,PERS,G42),6,2)</f>
        <v>#REF!</v>
      </c>
      <c r="H43" s="177" t="e">
        <f>IF(LEN(G43)=0,"",VLOOKUP((MID(VLOOKUP($A$1,PERS,G42),6,2)*1000)+MID(VLOOKUP($A$1,PERS,G42),8,3),COMM,4))</f>
        <v>#REF!</v>
      </c>
      <c r="I43" s="177"/>
      <c r="J43" s="177"/>
      <c r="K43" s="177"/>
      <c r="L43" s="178" t="e">
        <f>VLOOKUP($A$1,PERS,L42)</f>
        <v>#REF!</v>
      </c>
      <c r="M43" s="178"/>
      <c r="N43" s="179" t="e">
        <f>HYPERLINK("mailto",R43)</f>
        <v>#REF!</v>
      </c>
      <c r="O43" s="179"/>
      <c r="P43" s="180"/>
      <c r="Q43" s="66"/>
      <c r="R43" s="44" t="e">
        <f>IF(LEN(VLOOKUP($A$1,PERS,N42))=0,"",VLOOKUP($A$1,PERS,N42))</f>
        <v>#REF!</v>
      </c>
    </row>
    <row r="44" spans="1:34" ht="8.1" customHeight="1" x14ac:dyDescent="0.25">
      <c r="A44" s="47"/>
      <c r="B44" s="39"/>
      <c r="C44" s="39"/>
      <c r="D44" s="39"/>
      <c r="E44" s="39"/>
      <c r="F44" s="39"/>
      <c r="G44" s="183"/>
      <c r="H44" s="183"/>
      <c r="I44" s="39"/>
      <c r="J44" s="39"/>
      <c r="K44" s="39"/>
      <c r="L44" s="39"/>
      <c r="M44" s="39"/>
      <c r="N44" s="37"/>
      <c r="O44" s="39"/>
      <c r="P44" s="51"/>
      <c r="Q44" s="73"/>
    </row>
    <row r="45" spans="1:34" hidden="1" x14ac:dyDescent="0.25">
      <c r="A45" s="47">
        <f>A42+6</f>
        <v>88</v>
      </c>
      <c r="B45" s="181">
        <f>B42+6</f>
        <v>83</v>
      </c>
      <c r="C45" s="181"/>
      <c r="D45" s="181"/>
      <c r="E45" s="181">
        <f>E42+6</f>
        <v>84</v>
      </c>
      <c r="F45" s="181"/>
      <c r="G45" s="39">
        <f>G42+6</f>
        <v>85</v>
      </c>
      <c r="H45" s="181">
        <f>G42+6</f>
        <v>85</v>
      </c>
      <c r="I45" s="181"/>
      <c r="J45" s="181"/>
      <c r="K45" s="181"/>
      <c r="L45" s="181">
        <f>L42+6</f>
        <v>86</v>
      </c>
      <c r="M45" s="181"/>
      <c r="N45" s="181">
        <f>N42+6</f>
        <v>87</v>
      </c>
      <c r="O45" s="181"/>
      <c r="P45" s="182"/>
      <c r="Q45" s="72"/>
    </row>
    <row r="46" spans="1:34" x14ac:dyDescent="0.25">
      <c r="A46" s="49" t="e">
        <f>VLOOKUP($A$1,PERS,A45)</f>
        <v>#REF!</v>
      </c>
      <c r="B46" s="177" t="e">
        <f>VLOOKUP($A$1,PERS,B45)</f>
        <v>#REF!</v>
      </c>
      <c r="C46" s="177"/>
      <c r="D46" s="177"/>
      <c r="E46" s="176" t="e">
        <f>IF(VLOOKUP($A$1,PERS,E45)=0,"",DATE(MID(VLOOKUP($A$1,PERS,G45),2,2),MID(VLOOKUP($A$1,PERS,G45),4,2),VLOOKUP($A$1,PERS,E45)))</f>
        <v>#REF!</v>
      </c>
      <c r="F46" s="176"/>
      <c r="G46" s="50" t="e">
        <f>MID(VLOOKUP($A$1,PERS,G45),6,2)</f>
        <v>#REF!</v>
      </c>
      <c r="H46" s="177" t="e">
        <f>IF(LEN(G46)=0,"",VLOOKUP((MID(VLOOKUP($A$1,PERS,G45),6,2)*1000)+MID(VLOOKUP($A$1,PERS,G45),8,3),COMM,4))</f>
        <v>#REF!</v>
      </c>
      <c r="I46" s="177"/>
      <c r="J46" s="177"/>
      <c r="K46" s="177"/>
      <c r="L46" s="178" t="e">
        <f>VLOOKUP($A$1,PERS,L45)</f>
        <v>#REF!</v>
      </c>
      <c r="M46" s="178"/>
      <c r="N46" s="179" t="e">
        <f>HYPERLINK("mailto",R46)</f>
        <v>#REF!</v>
      </c>
      <c r="O46" s="179"/>
      <c r="P46" s="180"/>
      <c r="Q46" s="66"/>
      <c r="R46" s="44" t="e">
        <f>IF(LEN(VLOOKUP($A$1,PERS,N45))=0,"",VLOOKUP($A$1,PERS,N45))</f>
        <v>#REF!</v>
      </c>
    </row>
    <row r="47" spans="1:34" ht="8.1" customHeight="1" x14ac:dyDescent="0.25">
      <c r="A47" s="47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7"/>
      <c r="O47" s="39"/>
      <c r="P47" s="51"/>
      <c r="Q47" s="73"/>
    </row>
    <row r="48" spans="1:34" hidden="1" x14ac:dyDescent="0.25">
      <c r="A48" s="47">
        <f>A45+6</f>
        <v>94</v>
      </c>
      <c r="B48" s="181">
        <f>B45+6</f>
        <v>89</v>
      </c>
      <c r="C48" s="181"/>
      <c r="D48" s="181"/>
      <c r="E48" s="181">
        <f>E45+6</f>
        <v>90</v>
      </c>
      <c r="F48" s="181"/>
      <c r="G48" s="39">
        <f>G45+6</f>
        <v>91</v>
      </c>
      <c r="H48" s="181">
        <f>G45+6</f>
        <v>91</v>
      </c>
      <c r="I48" s="181"/>
      <c r="J48" s="181"/>
      <c r="K48" s="181"/>
      <c r="L48" s="181">
        <f>L45+6</f>
        <v>92</v>
      </c>
      <c r="M48" s="181"/>
      <c r="N48" s="181">
        <f>N45+6</f>
        <v>93</v>
      </c>
      <c r="O48" s="181"/>
      <c r="P48" s="182"/>
      <c r="Q48" s="72"/>
    </row>
    <row r="49" spans="1:21" x14ac:dyDescent="0.25">
      <c r="A49" s="49" t="e">
        <f>VLOOKUP($A$1,PERS,A48)</f>
        <v>#REF!</v>
      </c>
      <c r="B49" s="177" t="e">
        <f>VLOOKUP($A$1,PERS,B48)</f>
        <v>#REF!</v>
      </c>
      <c r="C49" s="177"/>
      <c r="D49" s="177"/>
      <c r="E49" s="176" t="e">
        <f>IF(VLOOKUP($A$1,PERS,E48)=0,"",DATE(MID(VLOOKUP($A$1,PERS,G48),2,2),MID(VLOOKUP($A$1,PERS,G48),4,2),VLOOKUP($A$1,PERS,E48)))</f>
        <v>#REF!</v>
      </c>
      <c r="F49" s="176"/>
      <c r="G49" s="50" t="e">
        <f>MID(VLOOKUP($A$1,PERS,G48),6,2)</f>
        <v>#REF!</v>
      </c>
      <c r="H49" s="177" t="e">
        <f>IF(LEN(G49)=0,"",VLOOKUP((MID(VLOOKUP($A$1,PERS,G48),6,2)*1000)+MID(VLOOKUP($A$1,PERS,G48),8,3),COMM,4))</f>
        <v>#REF!</v>
      </c>
      <c r="I49" s="177"/>
      <c r="J49" s="177"/>
      <c r="K49" s="177"/>
      <c r="L49" s="178" t="e">
        <f>VLOOKUP($A$1,PERS,L48)</f>
        <v>#REF!</v>
      </c>
      <c r="M49" s="178"/>
      <c r="N49" s="179" t="e">
        <f>HYPERLINK("mailto",R49)</f>
        <v>#REF!</v>
      </c>
      <c r="O49" s="179"/>
      <c r="P49" s="180"/>
      <c r="Q49" s="66"/>
      <c r="R49" s="44" t="e">
        <f>IF(LEN(VLOOKUP($A$1,PERS,N48))=0,"",VLOOKUP($A$1,PERS,N48))</f>
        <v>#REF!</v>
      </c>
    </row>
    <row r="50" spans="1:21" ht="8.1" customHeight="1" x14ac:dyDescent="0.25">
      <c r="A50" s="47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7"/>
      <c r="O50" s="39"/>
      <c r="P50" s="51"/>
      <c r="Q50" s="73"/>
    </row>
    <row r="51" spans="1:21" hidden="1" x14ac:dyDescent="0.25">
      <c r="A51" s="47">
        <f>A48+6</f>
        <v>100</v>
      </c>
      <c r="B51" s="181">
        <f>B48+6</f>
        <v>95</v>
      </c>
      <c r="C51" s="181"/>
      <c r="D51" s="181"/>
      <c r="E51" s="181">
        <f>E48+6</f>
        <v>96</v>
      </c>
      <c r="F51" s="181"/>
      <c r="G51" s="39">
        <f>G48+6</f>
        <v>97</v>
      </c>
      <c r="H51" s="181">
        <f>G48+6</f>
        <v>97</v>
      </c>
      <c r="I51" s="181"/>
      <c r="J51" s="181"/>
      <c r="K51" s="181"/>
      <c r="L51" s="181">
        <f>L48+6</f>
        <v>98</v>
      </c>
      <c r="M51" s="181"/>
      <c r="N51" s="181">
        <f>N48+6</f>
        <v>99</v>
      </c>
      <c r="O51" s="181"/>
      <c r="P51" s="182"/>
      <c r="Q51" s="72"/>
    </row>
    <row r="52" spans="1:21" x14ac:dyDescent="0.25">
      <c r="A52" s="49" t="e">
        <f>VLOOKUP($A$1,PERS,A51)</f>
        <v>#REF!</v>
      </c>
      <c r="B52" s="177" t="e">
        <f>VLOOKUP($A$1,PERS,B51)</f>
        <v>#REF!</v>
      </c>
      <c r="C52" s="177"/>
      <c r="D52" s="177"/>
      <c r="E52" s="176" t="e">
        <f>IF(VLOOKUP($A$1,PERS,E51)=0,"",DATE(MID(VLOOKUP($A$1,PERS,G51),2,2),MID(VLOOKUP($A$1,PERS,G51),4,2),VLOOKUP($A$1,PERS,E51)))</f>
        <v>#REF!</v>
      </c>
      <c r="F52" s="176"/>
      <c r="G52" s="50" t="e">
        <f>MID(VLOOKUP($A$1,PERS,G51),6,2)</f>
        <v>#REF!</v>
      </c>
      <c r="H52" s="177" t="e">
        <f>IF(LEN(G52)=0,"",VLOOKUP((MID(VLOOKUP($A$1,PERS,G51),6,2)*1000)+MID(VLOOKUP($A$1,PERS,G51),8,3),COMM,4))</f>
        <v>#REF!</v>
      </c>
      <c r="I52" s="177"/>
      <c r="J52" s="177"/>
      <c r="K52" s="177"/>
      <c r="L52" s="178" t="e">
        <f>VLOOKUP($A$1,PERS,L51)</f>
        <v>#REF!</v>
      </c>
      <c r="M52" s="178"/>
      <c r="N52" s="179" t="e">
        <f>HYPERLINK("mailto",R52)</f>
        <v>#REF!</v>
      </c>
      <c r="O52" s="179"/>
      <c r="P52" s="180"/>
      <c r="Q52" s="66"/>
      <c r="R52" s="44" t="e">
        <f>IF(LEN(VLOOKUP($A$1,PERS,N51))=0,"",VLOOKUP($A$1,PERS,N51))</f>
        <v>#REF!</v>
      </c>
    </row>
    <row r="53" spans="1:21" ht="8.1" customHeight="1" x14ac:dyDescent="0.25">
      <c r="A53" s="47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51"/>
      <c r="Q53" s="73"/>
      <c r="U53" s="3"/>
    </row>
    <row r="54" spans="1:21" hidden="1" x14ac:dyDescent="0.25">
      <c r="A54" s="47">
        <f>A51+6</f>
        <v>106</v>
      </c>
      <c r="B54" s="181">
        <f>B51+6</f>
        <v>101</v>
      </c>
      <c r="C54" s="181"/>
      <c r="D54" s="181"/>
      <c r="E54" s="181">
        <f>E51+6</f>
        <v>102</v>
      </c>
      <c r="F54" s="181"/>
      <c r="G54" s="39">
        <f>G51+6</f>
        <v>103</v>
      </c>
      <c r="H54" s="181">
        <f>G51+6</f>
        <v>103</v>
      </c>
      <c r="I54" s="181"/>
      <c r="J54" s="181"/>
      <c r="K54" s="181"/>
      <c r="L54" s="181">
        <f>L51+6</f>
        <v>104</v>
      </c>
      <c r="M54" s="181"/>
      <c r="N54" s="181">
        <f>N51+6</f>
        <v>105</v>
      </c>
      <c r="O54" s="181"/>
      <c r="P54" s="182"/>
      <c r="Q54" s="72"/>
      <c r="U54" s="3"/>
    </row>
    <row r="55" spans="1:21" ht="15.75" thickBot="1" x14ac:dyDescent="0.3">
      <c r="A55" s="52" t="e">
        <f>VLOOKUP($A$1,PERS,A54)</f>
        <v>#REF!</v>
      </c>
      <c r="B55" s="171" t="e">
        <f>VLOOKUP($A$1,PERS,B54)</f>
        <v>#REF!</v>
      </c>
      <c r="C55" s="171"/>
      <c r="D55" s="171"/>
      <c r="E55" s="172" t="e">
        <f>IF(VLOOKUP($A$1,PERS,E54)=0,"",DATE(MID(VLOOKUP($A$1,PERS,G54),2,2),MID(VLOOKUP($A$1,PERS,G54),4,2),VLOOKUP($A$1,PERS,E54)))</f>
        <v>#REF!</v>
      </c>
      <c r="F55" s="172"/>
      <c r="G55" s="53" t="e">
        <f>MID(VLOOKUP($A$1,PERS,G54),6,2)</f>
        <v>#REF!</v>
      </c>
      <c r="H55" s="171" t="e">
        <f>IF(LEN(G55)=0,"",VLOOKUP((MID(VLOOKUP($A$1,PERS,G54),6,2)*1000)+MID(VLOOKUP($A$1,PERS,G54),8,3),COMM,4))</f>
        <v>#REF!</v>
      </c>
      <c r="I55" s="171"/>
      <c r="J55" s="171"/>
      <c r="K55" s="171"/>
      <c r="L55" s="173" t="e">
        <f>VLOOKUP($A$1,PERS,L54)</f>
        <v>#REF!</v>
      </c>
      <c r="M55" s="173"/>
      <c r="N55" s="174" t="e">
        <f>HYPERLINK("mailto",R55)</f>
        <v>#REF!</v>
      </c>
      <c r="O55" s="174"/>
      <c r="P55" s="175"/>
      <c r="Q55" s="66"/>
      <c r="R55" s="44" t="e">
        <f>IF(LEN(VLOOKUP($A$1,PERS,N54))=0,"",VLOOKUP($A$1,PERS,N54))</f>
        <v>#REF!</v>
      </c>
    </row>
  </sheetData>
  <mergeCells count="175">
    <mergeCell ref="O26:P26"/>
    <mergeCell ref="D23:E23"/>
    <mergeCell ref="D26:E26"/>
    <mergeCell ref="F23:G23"/>
    <mergeCell ref="F26:G26"/>
    <mergeCell ref="I23:J23"/>
    <mergeCell ref="I26:J26"/>
    <mergeCell ref="K23:L23"/>
    <mergeCell ref="S26:T26"/>
    <mergeCell ref="M23:N23"/>
    <mergeCell ref="K26:L26"/>
    <mergeCell ref="M26:N26"/>
    <mergeCell ref="S23:T23"/>
    <mergeCell ref="AF23:AG23"/>
    <mergeCell ref="AF26:AG26"/>
    <mergeCell ref="AF29:AG29"/>
    <mergeCell ref="AF32:AG32"/>
    <mergeCell ref="AF35:AG35"/>
    <mergeCell ref="Y35:AA35"/>
    <mergeCell ref="Y38:AA38"/>
    <mergeCell ref="AC38:AD38"/>
    <mergeCell ref="AF38:AG38"/>
    <mergeCell ref="Y23:AA23"/>
    <mergeCell ref="Y26:AA26"/>
    <mergeCell ref="Y29:AA29"/>
    <mergeCell ref="Y32:AA32"/>
    <mergeCell ref="AC23:AD23"/>
    <mergeCell ref="AC26:AD26"/>
    <mergeCell ref="AC29:AD29"/>
    <mergeCell ref="AC32:AD32"/>
    <mergeCell ref="AC35:AD35"/>
    <mergeCell ref="A6:B6"/>
    <mergeCell ref="L6:M6"/>
    <mergeCell ref="L3:M3"/>
    <mergeCell ref="A1:B2"/>
    <mergeCell ref="L1:M1"/>
    <mergeCell ref="L2:M2"/>
    <mergeCell ref="L4:M4"/>
    <mergeCell ref="D1:J2"/>
    <mergeCell ref="D3:J3"/>
    <mergeCell ref="E5:J5"/>
    <mergeCell ref="D6:J7"/>
    <mergeCell ref="A7:B7"/>
    <mergeCell ref="B3:B4"/>
    <mergeCell ref="A23:C23"/>
    <mergeCell ref="A14:B15"/>
    <mergeCell ref="C14:E15"/>
    <mergeCell ref="A12:B13"/>
    <mergeCell ref="C12:E13"/>
    <mergeCell ref="A9:B10"/>
    <mergeCell ref="C9:E10"/>
    <mergeCell ref="O23:P23"/>
    <mergeCell ref="F9:G10"/>
    <mergeCell ref="H9:I10"/>
    <mergeCell ref="F11:G12"/>
    <mergeCell ref="H11:I12"/>
    <mergeCell ref="F13:G14"/>
    <mergeCell ref="H13:I14"/>
    <mergeCell ref="I15:K16"/>
    <mergeCell ref="E18:F18"/>
    <mergeCell ref="F15:G16"/>
    <mergeCell ref="M13:M14"/>
    <mergeCell ref="N13:O14"/>
    <mergeCell ref="M15:M16"/>
    <mergeCell ref="N15:O16"/>
    <mergeCell ref="N9:O10"/>
    <mergeCell ref="E20:F20"/>
    <mergeCell ref="I32:J32"/>
    <mergeCell ref="K32:L32"/>
    <mergeCell ref="M32:N32"/>
    <mergeCell ref="O32:P32"/>
    <mergeCell ref="D29:E29"/>
    <mergeCell ref="F29:G29"/>
    <mergeCell ref="I29:J29"/>
    <mergeCell ref="K29:L29"/>
    <mergeCell ref="M29:N29"/>
    <mergeCell ref="A26:C26"/>
    <mergeCell ref="A29:C29"/>
    <mergeCell ref="A32:C32"/>
    <mergeCell ref="A35:C35"/>
    <mergeCell ref="A38:C38"/>
    <mergeCell ref="S29:T29"/>
    <mergeCell ref="S32:T32"/>
    <mergeCell ref="S35:T35"/>
    <mergeCell ref="S38:T38"/>
    <mergeCell ref="O35:P35"/>
    <mergeCell ref="D38:E38"/>
    <mergeCell ref="F38:G38"/>
    <mergeCell ref="I38:J38"/>
    <mergeCell ref="K38:L38"/>
    <mergeCell ref="M38:N38"/>
    <mergeCell ref="O38:P38"/>
    <mergeCell ref="D35:E35"/>
    <mergeCell ref="F35:G35"/>
    <mergeCell ref="I35:J35"/>
    <mergeCell ref="K35:L35"/>
    <mergeCell ref="M35:N35"/>
    <mergeCell ref="O29:P29"/>
    <mergeCell ref="D32:E32"/>
    <mergeCell ref="F32:G32"/>
    <mergeCell ref="B40:D40"/>
    <mergeCell ref="H40:K40"/>
    <mergeCell ref="L40:M40"/>
    <mergeCell ref="N40:P40"/>
    <mergeCell ref="B42:D42"/>
    <mergeCell ref="E42:F42"/>
    <mergeCell ref="H42:K42"/>
    <mergeCell ref="L42:M42"/>
    <mergeCell ref="N42:P42"/>
    <mergeCell ref="L43:M43"/>
    <mergeCell ref="N43:P43"/>
    <mergeCell ref="G44:H44"/>
    <mergeCell ref="B45:D45"/>
    <mergeCell ref="E45:F45"/>
    <mergeCell ref="H45:K45"/>
    <mergeCell ref="L45:M45"/>
    <mergeCell ref="N45:P45"/>
    <mergeCell ref="B43:D43"/>
    <mergeCell ref="E43:F43"/>
    <mergeCell ref="H43:K43"/>
    <mergeCell ref="E54:F54"/>
    <mergeCell ref="H54:K54"/>
    <mergeCell ref="L54:M54"/>
    <mergeCell ref="N54:P54"/>
    <mergeCell ref="H49:K49"/>
    <mergeCell ref="L49:M49"/>
    <mergeCell ref="B51:D51"/>
    <mergeCell ref="E51:F51"/>
    <mergeCell ref="H51:K51"/>
    <mergeCell ref="L51:M51"/>
    <mergeCell ref="N51:P51"/>
    <mergeCell ref="B55:D55"/>
    <mergeCell ref="E55:F55"/>
    <mergeCell ref="H55:K55"/>
    <mergeCell ref="L55:M55"/>
    <mergeCell ref="N55:P55"/>
    <mergeCell ref="E46:F46"/>
    <mergeCell ref="H46:K46"/>
    <mergeCell ref="L46:M46"/>
    <mergeCell ref="N46:P46"/>
    <mergeCell ref="B48:D48"/>
    <mergeCell ref="E48:F48"/>
    <mergeCell ref="H48:K48"/>
    <mergeCell ref="L48:M48"/>
    <mergeCell ref="N48:P48"/>
    <mergeCell ref="B46:D46"/>
    <mergeCell ref="B49:D49"/>
    <mergeCell ref="E49:F49"/>
    <mergeCell ref="B52:D52"/>
    <mergeCell ref="E52:F52"/>
    <mergeCell ref="H52:K52"/>
    <mergeCell ref="L52:M52"/>
    <mergeCell ref="N52:P52"/>
    <mergeCell ref="N49:P49"/>
    <mergeCell ref="B54:D54"/>
    <mergeCell ref="R4:U4"/>
    <mergeCell ref="R3:U3"/>
    <mergeCell ref="V3:X4"/>
    <mergeCell ref="Y3:AC3"/>
    <mergeCell ref="Y4:AC4"/>
    <mergeCell ref="M9:M10"/>
    <mergeCell ref="M11:M12"/>
    <mergeCell ref="N11:O12"/>
    <mergeCell ref="R1:AA2"/>
    <mergeCell ref="AB1:AD2"/>
    <mergeCell ref="R5:S5"/>
    <mergeCell ref="V5:W5"/>
    <mergeCell ref="X5:Y5"/>
    <mergeCell ref="Z5:AC5"/>
    <mergeCell ref="N1:P1"/>
    <mergeCell ref="N2:P2"/>
    <mergeCell ref="N3:P3"/>
    <mergeCell ref="N4:P4"/>
    <mergeCell ref="N5:P5"/>
    <mergeCell ref="N6:P6"/>
  </mergeCells>
  <conditionalFormatting sqref="B3:B4">
    <cfRule type="notContainsBlanks" dxfId="13" priority="16">
      <formula>LEN(TRIM(B3))&gt;0</formula>
    </cfRule>
  </conditionalFormatting>
  <conditionalFormatting sqref="A4">
    <cfRule type="notContainsBlanks" dxfId="12" priority="14">
      <formula>LEN(TRIM(A4))&gt;0</formula>
    </cfRule>
  </conditionalFormatting>
  <conditionalFormatting sqref="AB1:AD2">
    <cfRule type="containsText" dxfId="11" priority="12" operator="containsText" text=".">
      <formula>NOT(ISERROR(SEARCH(".",AB1)))</formula>
    </cfRule>
  </conditionalFormatting>
  <conditionalFormatting sqref="R1:AA2">
    <cfRule type="containsText" dxfId="10" priority="11" operator="containsText" text=".">
      <formula>NOT(ISERROR(SEARCH(".",R1)))</formula>
    </cfRule>
  </conditionalFormatting>
  <conditionalFormatting sqref="V3 Y3">
    <cfRule type="containsText" dxfId="9" priority="10" operator="containsText" text="annuelle">
      <formula>NOT(ISERROR(SEARCH("annuelle",V3)))</formula>
    </cfRule>
  </conditionalFormatting>
  <conditionalFormatting sqref="R3:U3">
    <cfRule type="containsText" dxfId="8" priority="9" operator="containsText" text="Saisie">
      <formula>NOT(ISERROR(SEARCH("Saisie",R3)))</formula>
    </cfRule>
  </conditionalFormatting>
  <conditionalFormatting sqref="R4:U4">
    <cfRule type="containsText" dxfId="7" priority="8" operator="containsText" text="Saisie">
      <formula>NOT(ISERROR(SEARCH("Saisie",R4)))</formula>
    </cfRule>
  </conditionalFormatting>
  <conditionalFormatting sqref="Y4">
    <cfRule type="containsText" dxfId="6" priority="7" operator="containsText" text="TVA">
      <formula>NOT(ISERROR(SEARCH("TVA",Y4)))</formula>
    </cfRule>
  </conditionalFormatting>
  <conditionalFormatting sqref="Y3:AC3">
    <cfRule type="containsText" dxfId="5" priority="3" operator="containsText" text="Visa">
      <formula>NOT(ISERROR(SEARCH("Visa",Y3)))</formula>
    </cfRule>
    <cfRule type="containsText" dxfId="4" priority="6" operator="containsText" text="Visa">
      <formula>NOT(ISERROR(SEARCH("Visa",Y3)))</formula>
    </cfRule>
  </conditionalFormatting>
  <conditionalFormatting sqref="Y4:AC4">
    <cfRule type="containsText" dxfId="3" priority="2" operator="containsText" text="Drp">
      <formula>NOT(ISERROR(SEARCH("Drp",Y4)))</formula>
    </cfRule>
    <cfRule type="containsText" dxfId="2" priority="5" operator="containsText" text="Drp">
      <formula>NOT(ISERROR(SEARCH("Drp",Y4)))</formula>
    </cfRule>
  </conditionalFormatting>
  <conditionalFormatting sqref="V3:X4">
    <cfRule type="containsText" dxfId="1" priority="4" operator="containsText" text="trim">
      <formula>NOT(ISERROR(SEARCH("trim",V3)))</formula>
    </cfRule>
  </conditionalFormatting>
  <conditionalFormatting sqref="A3">
    <cfRule type="notContainsBlanks" dxfId="0" priority="1">
      <formula>LEN(TRIM(A3))&gt;0</formula>
    </cfRule>
  </conditionalFormatting>
  <dataValidations count="1">
    <dataValidation type="list" allowBlank="1" showInputMessage="1" showErrorMessage="1" sqref="A1:B2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4"/>
  <sheetViews>
    <sheetView zoomScaleNormal="100" workbookViewId="0">
      <pane xSplit="2" ySplit="2" topLeftCell="M3" activePane="bottomRight" state="frozen"/>
      <selection pane="topRight" activeCell="C1" sqref="C1"/>
      <selection pane="bottomLeft" activeCell="A3" sqref="A3"/>
      <selection pane="bottomRight" activeCell="Q4" sqref="Q4"/>
    </sheetView>
  </sheetViews>
  <sheetFormatPr baseColWidth="10" defaultRowHeight="15" x14ac:dyDescent="0.25"/>
  <cols>
    <col min="1" max="1" width="11.42578125" style="69"/>
    <col min="2" max="2" width="24.85546875" customWidth="1"/>
    <col min="7" max="7" width="11.42578125" style="2"/>
    <col min="17" max="17" width="11.42578125" style="2"/>
  </cols>
  <sheetData>
    <row r="1" spans="1:26" x14ac:dyDescent="0.25">
      <c r="A1" s="69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82</v>
      </c>
      <c r="H1" t="s">
        <v>62</v>
      </c>
      <c r="I1" t="s">
        <v>7</v>
      </c>
      <c r="J1" t="s">
        <v>8</v>
      </c>
      <c r="K1" t="s">
        <v>9</v>
      </c>
      <c r="L1" t="s">
        <v>10</v>
      </c>
      <c r="M1" t="s">
        <v>24</v>
      </c>
      <c r="N1" t="s">
        <v>11</v>
      </c>
      <c r="O1" t="s">
        <v>12</v>
      </c>
      <c r="P1" t="s">
        <v>13</v>
      </c>
      <c r="Q1" s="2" t="s">
        <v>71</v>
      </c>
      <c r="R1" t="s">
        <v>72</v>
      </c>
      <c r="S1" t="s">
        <v>74</v>
      </c>
      <c r="T1" t="s">
        <v>83</v>
      </c>
      <c r="U1" t="s">
        <v>84</v>
      </c>
      <c r="V1" t="s">
        <v>85</v>
      </c>
      <c r="W1" t="s">
        <v>89</v>
      </c>
      <c r="X1" s="2" t="s">
        <v>90</v>
      </c>
      <c r="Y1" s="2" t="s">
        <v>91</v>
      </c>
      <c r="Z1" s="2" t="s">
        <v>92</v>
      </c>
    </row>
    <row r="2" spans="1:26" x14ac:dyDescent="0.25">
      <c r="A2" s="69">
        <v>1</v>
      </c>
      <c r="B2">
        <v>2</v>
      </c>
      <c r="C2">
        <v>3</v>
      </c>
      <c r="D2">
        <v>4</v>
      </c>
      <c r="E2">
        <v>5</v>
      </c>
      <c r="F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</row>
    <row r="3" spans="1:26" x14ac:dyDescent="0.25">
      <c r="A3" s="69">
        <v>888888</v>
      </c>
      <c r="B3" t="s">
        <v>114</v>
      </c>
      <c r="C3" t="s">
        <v>26</v>
      </c>
      <c r="D3" t="s">
        <v>115</v>
      </c>
      <c r="E3">
        <v>88888</v>
      </c>
      <c r="G3" t="s">
        <v>116</v>
      </c>
      <c r="O3" s="1">
        <v>42795</v>
      </c>
      <c r="P3" s="1">
        <v>43159</v>
      </c>
      <c r="R3" s="2">
        <v>3517</v>
      </c>
    </row>
    <row r="4" spans="1:26" x14ac:dyDescent="0.25">
      <c r="A4" s="69">
        <v>999999</v>
      </c>
      <c r="B4" t="s">
        <v>110</v>
      </c>
      <c r="C4" t="s">
        <v>111</v>
      </c>
      <c r="D4" t="s">
        <v>112</v>
      </c>
      <c r="E4">
        <v>99999</v>
      </c>
      <c r="G4" t="s">
        <v>113</v>
      </c>
      <c r="O4" s="1">
        <v>42917</v>
      </c>
      <c r="P4" s="1">
        <v>43281</v>
      </c>
      <c r="R4" s="2">
        <v>3310</v>
      </c>
    </row>
  </sheetData>
  <autoFilter ref="A1:P2"/>
  <sortState ref="A3:Q59">
    <sortCondition ref="A3:A6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:XFD54"/>
    </sheetView>
  </sheetViews>
  <sheetFormatPr baseColWidth="10" defaultRowHeight="15" x14ac:dyDescent="0.25"/>
  <cols>
    <col min="1" max="1" width="11.42578125" style="68"/>
    <col min="14" max="14" width="12.7109375" customWidth="1"/>
    <col min="20" max="20" width="11.42578125" style="2"/>
    <col min="24" max="24" width="12.7109375" customWidth="1"/>
    <col min="30" max="34" width="11.42578125" style="2"/>
  </cols>
  <sheetData>
    <row r="1" spans="1:35" x14ac:dyDescent="0.25">
      <c r="A1" s="68" t="s">
        <v>0</v>
      </c>
      <c r="B1" t="s">
        <v>14</v>
      </c>
      <c r="C1" t="s">
        <v>15</v>
      </c>
      <c r="D1" t="s">
        <v>16</v>
      </c>
      <c r="E1" t="s">
        <v>0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s="2" t="s">
        <v>75</v>
      </c>
      <c r="U1" t="s">
        <v>23</v>
      </c>
      <c r="V1" t="s">
        <v>41</v>
      </c>
      <c r="W1" t="s">
        <v>42</v>
      </c>
      <c r="X1" t="s">
        <v>43</v>
      </c>
      <c r="Y1" t="s">
        <v>44</v>
      </c>
      <c r="Z1" t="s">
        <v>45</v>
      </c>
      <c r="AA1" t="s">
        <v>46</v>
      </c>
      <c r="AB1" t="s">
        <v>47</v>
      </c>
      <c r="AC1" t="s">
        <v>48</v>
      </c>
      <c r="AD1" s="2" t="s">
        <v>76</v>
      </c>
      <c r="AE1" s="2" t="s">
        <v>78</v>
      </c>
      <c r="AF1" s="2" t="s">
        <v>79</v>
      </c>
      <c r="AG1" s="2" t="s">
        <v>80</v>
      </c>
      <c r="AH1" s="2" t="s">
        <v>81</v>
      </c>
      <c r="AI1" t="s">
        <v>70</v>
      </c>
    </row>
    <row r="2" spans="1:35" x14ac:dyDescent="0.25">
      <c r="A2" s="68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  <c r="AB2" s="2">
        <v>28</v>
      </c>
      <c r="AC2" s="2">
        <v>29</v>
      </c>
      <c r="AD2" s="2">
        <v>30</v>
      </c>
      <c r="AE2" s="2">
        <v>31</v>
      </c>
      <c r="AF2" s="2">
        <v>32</v>
      </c>
      <c r="AG2" s="2">
        <v>33</v>
      </c>
      <c r="AH2" s="2">
        <v>34</v>
      </c>
      <c r="AI2" s="2">
        <v>35</v>
      </c>
    </row>
  </sheetData>
  <autoFilter ref="A1:U2"/>
  <sortState ref="A3:AC59">
    <sortCondition ref="A3:A5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/>
  </sheetPr>
  <dimension ref="A1:F4"/>
  <sheetViews>
    <sheetView tabSelected="1" workbookViewId="0">
      <pane ySplit="2" topLeftCell="A3" activePane="bottomLeft" state="frozen"/>
      <selection pane="bottomLeft" activeCell="A3" sqref="A3:D13"/>
    </sheetView>
  </sheetViews>
  <sheetFormatPr baseColWidth="10" defaultRowHeight="15" x14ac:dyDescent="0.25"/>
  <cols>
    <col min="2" max="2" width="22.85546875" bestFit="1" customWidth="1"/>
    <col min="3" max="3" width="84.85546875" customWidth="1"/>
    <col min="4" max="4" width="57.28515625" customWidth="1"/>
    <col min="5" max="6" width="11.42578125" hidden="1" customWidth="1"/>
  </cols>
  <sheetData>
    <row r="1" spans="1:6" x14ac:dyDescent="0.25">
      <c r="A1" s="69" t="s">
        <v>0</v>
      </c>
      <c r="B1" s="2" t="s">
        <v>1</v>
      </c>
      <c r="C1" t="s">
        <v>86</v>
      </c>
      <c r="D1" t="s">
        <v>87</v>
      </c>
      <c r="E1" t="s">
        <v>88</v>
      </c>
      <c r="F1" t="s">
        <v>88</v>
      </c>
    </row>
    <row r="2" spans="1:6" x14ac:dyDescent="0.25">
      <c r="A2" s="69">
        <v>1</v>
      </c>
      <c r="B2" s="2">
        <v>2</v>
      </c>
      <c r="C2">
        <v>3</v>
      </c>
      <c r="D2">
        <v>4</v>
      </c>
      <c r="E2">
        <v>5</v>
      </c>
      <c r="F2">
        <v>6</v>
      </c>
    </row>
    <row r="3" spans="1:6" x14ac:dyDescent="0.25">
      <c r="A3">
        <v>888888</v>
      </c>
      <c r="C3" t="s">
        <v>117</v>
      </c>
      <c r="D3" t="s">
        <v>118</v>
      </c>
    </row>
    <row r="4" spans="1:6" x14ac:dyDescent="0.25">
      <c r="A4">
        <v>999999</v>
      </c>
      <c r="C4" t="s">
        <v>119</v>
      </c>
      <c r="D4" t="s">
        <v>120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92D050"/>
  </sheetPr>
  <dimension ref="A1:X6"/>
  <sheetViews>
    <sheetView workbookViewId="0">
      <pane ySplit="4" topLeftCell="A5" activePane="bottomLeft" state="frozen"/>
      <selection pane="bottomLeft" activeCell="L6" sqref="L6:N6"/>
    </sheetView>
  </sheetViews>
  <sheetFormatPr baseColWidth="10" defaultRowHeight="15" x14ac:dyDescent="0.25"/>
  <cols>
    <col min="1" max="1" width="8.42578125" customWidth="1"/>
    <col min="2" max="2" width="22.85546875" bestFit="1" customWidth="1"/>
    <col min="3" max="4" width="1.7109375" style="122" customWidth="1"/>
    <col min="5" max="6" width="11.42578125" style="121" customWidth="1"/>
    <col min="7" max="7" width="12.7109375" style="121" customWidth="1"/>
    <col min="8" max="8" width="11.42578125" style="123" customWidth="1"/>
    <col min="9" max="9" width="11.42578125" style="121" customWidth="1"/>
    <col min="10" max="10" width="11.42578125" style="123" customWidth="1"/>
    <col min="11" max="11" width="11.42578125" style="121" customWidth="1"/>
    <col min="12" max="15" width="9.85546875" style="126" customWidth="1"/>
    <col min="16" max="16" width="11.42578125" style="121"/>
    <col min="17" max="17" width="3.28515625" customWidth="1"/>
    <col min="18" max="18" width="3.7109375" style="122" customWidth="1"/>
    <col min="20" max="20" width="1.7109375" style="122" customWidth="1"/>
    <col min="21" max="21" width="3.7109375" customWidth="1"/>
    <col min="23" max="23" width="58.140625" bestFit="1" customWidth="1"/>
  </cols>
  <sheetData>
    <row r="1" spans="1:24" s="122" customFormat="1" x14ac:dyDescent="0.25">
      <c r="A1" s="122">
        <v>1</v>
      </c>
      <c r="B1" s="122">
        <v>2</v>
      </c>
      <c r="C1" s="122">
        <v>3</v>
      </c>
      <c r="D1" s="122">
        <v>4</v>
      </c>
      <c r="E1" s="122">
        <v>5</v>
      </c>
      <c r="F1" s="122">
        <v>6</v>
      </c>
      <c r="G1" s="122">
        <v>7</v>
      </c>
      <c r="H1" s="122">
        <v>8</v>
      </c>
      <c r="I1" s="122">
        <v>9</v>
      </c>
      <c r="J1" s="122">
        <v>10</v>
      </c>
      <c r="K1" s="122">
        <v>11</v>
      </c>
      <c r="L1" s="122">
        <v>12</v>
      </c>
      <c r="M1" s="122">
        <v>13</v>
      </c>
      <c r="N1" s="122">
        <v>14</v>
      </c>
      <c r="O1" s="122">
        <v>15</v>
      </c>
      <c r="P1" s="122">
        <v>16</v>
      </c>
      <c r="Q1" s="122">
        <v>17</v>
      </c>
      <c r="R1" s="122">
        <v>18</v>
      </c>
      <c r="S1" s="122">
        <v>19</v>
      </c>
      <c r="T1" s="122">
        <v>20</v>
      </c>
    </row>
    <row r="2" spans="1:24" s="122" customFormat="1" ht="21" customHeight="1" x14ac:dyDescent="0.25">
      <c r="E2" s="261" t="s">
        <v>101</v>
      </c>
      <c r="F2" s="261"/>
      <c r="G2" s="264" t="str">
        <f>CONCATENATE("Liasses faites ",SUM(H5:H49),"  / ",SUM(C5:C49)," à faire")</f>
        <v>Liasses faites 0  / 0 à faire</v>
      </c>
      <c r="I2" s="266" t="str">
        <f>CONCATENATE("TVA Annuelle faites : ",SUM(J5:J49),"  / ",SUM(C5:C49)," à faire")</f>
        <v>TVA Annuelle faites : 0  / 0 à faire</v>
      </c>
      <c r="J2" s="266"/>
      <c r="K2" s="266"/>
      <c r="L2" s="266"/>
      <c r="M2" s="266"/>
      <c r="N2" s="126"/>
      <c r="O2" s="126"/>
      <c r="P2" s="262" t="str">
        <f>CONCATENATE("DRP MSA faites ",SUM(R5:R50)," /",SUM(Q5:Q50)," à faire")</f>
        <v>DRP MSA faites 0 /0 à faire</v>
      </c>
      <c r="Q2" s="262"/>
      <c r="R2" s="126"/>
      <c r="S2" s="263" t="str">
        <f>CONCATENATE("2042 faites : ",SUM(U5:U50),"  / ",SUM(T5:T50)," à faire")</f>
        <v>2042 faites : 0  / 0 à faire</v>
      </c>
      <c r="T2" s="263"/>
      <c r="W2" s="260" t="s">
        <v>108</v>
      </c>
      <c r="X2" s="122" t="s">
        <v>109</v>
      </c>
    </row>
    <row r="3" spans="1:24" s="122" customFormat="1" x14ac:dyDescent="0.25">
      <c r="E3" s="261"/>
      <c r="F3" s="261"/>
      <c r="G3" s="264"/>
      <c r="H3" s="123"/>
      <c r="I3" s="127"/>
      <c r="J3" s="123"/>
      <c r="K3" s="123"/>
      <c r="L3" s="265" t="str">
        <f>CONCATENATE("TVA trim. : ",SUM(K5:K49)," / ",COUNTIF(D5:D49,3)*4," faites")</f>
        <v>TVA trim. : 3 / 4 faites</v>
      </c>
      <c r="M3" s="265"/>
      <c r="N3" s="265"/>
      <c r="O3" s="265"/>
      <c r="P3" s="262"/>
      <c r="Q3" s="262"/>
      <c r="S3" s="263"/>
      <c r="T3" s="263"/>
      <c r="W3" s="260"/>
    </row>
    <row r="4" spans="1:24" x14ac:dyDescent="0.25">
      <c r="A4" s="2" t="s">
        <v>0</v>
      </c>
      <c r="B4" s="2" t="s">
        <v>1</v>
      </c>
      <c r="C4" s="122" t="s">
        <v>100</v>
      </c>
      <c r="D4" s="122" t="s">
        <v>25</v>
      </c>
      <c r="E4" s="132" t="s">
        <v>77</v>
      </c>
      <c r="F4" s="133" t="s">
        <v>102</v>
      </c>
      <c r="G4" s="131" t="s">
        <v>93</v>
      </c>
      <c r="H4" s="123" t="s">
        <v>96</v>
      </c>
      <c r="I4" s="134" t="s">
        <v>94</v>
      </c>
      <c r="J4" s="123" t="s">
        <v>96</v>
      </c>
      <c r="K4" s="121" t="s">
        <v>95</v>
      </c>
      <c r="L4" s="128" t="s">
        <v>103</v>
      </c>
      <c r="M4" s="128" t="s">
        <v>104</v>
      </c>
      <c r="N4" s="128" t="s">
        <v>105</v>
      </c>
      <c r="O4" s="128" t="s">
        <v>106</v>
      </c>
      <c r="P4" s="130" t="s">
        <v>98</v>
      </c>
      <c r="Q4" s="130" t="s">
        <v>97</v>
      </c>
      <c r="R4" s="123" t="s">
        <v>96</v>
      </c>
      <c r="S4" s="129" t="s">
        <v>99</v>
      </c>
      <c r="T4" s="129" t="s">
        <v>97</v>
      </c>
      <c r="U4" s="123" t="s">
        <v>96</v>
      </c>
      <c r="W4" s="260"/>
    </row>
    <row r="5" spans="1:24" x14ac:dyDescent="0.25">
      <c r="A5">
        <v>888888</v>
      </c>
      <c r="D5" s="122">
        <f>IF(VLOOKUP(A5,IDENT,18)=3310,3,IF(RIGHT(B5,3)="BBR",2,1))</f>
        <v>1</v>
      </c>
      <c r="E5" s="158">
        <v>43159</v>
      </c>
      <c r="F5" s="158">
        <v>43373</v>
      </c>
      <c r="G5" s="121" t="s">
        <v>121</v>
      </c>
      <c r="I5" s="158">
        <v>43233</v>
      </c>
      <c r="J5" s="157">
        <f>IF(AND(OR(D5=1,D5=2),I7&gt;VLOOKUP(A5,IDENT,16)),1,0)</f>
        <v>0</v>
      </c>
      <c r="K5" s="157">
        <f t="shared" ref="K5:K6" si="0">IF(D5=3,COUNTIF(L5:O5,"&gt;01/01/2018"),0)</f>
        <v>0</v>
      </c>
      <c r="L5"/>
      <c r="M5"/>
      <c r="N5"/>
      <c r="O5"/>
    </row>
    <row r="6" spans="1:24" x14ac:dyDescent="0.25">
      <c r="A6">
        <v>999999</v>
      </c>
      <c r="D6" s="122">
        <f>IF(VLOOKUP(A6,IDENT,18)=3310,3,IF(RIGHT(B6,3)="BBR",2,1))</f>
        <v>3</v>
      </c>
      <c r="E6" s="158">
        <v>43281</v>
      </c>
      <c r="F6" s="158">
        <v>43373</v>
      </c>
      <c r="J6" s="157">
        <f t="shared" ref="J6" si="1">IF(AND(OR(D6=1,D6=2),I6&gt;VLOOKUP(A6,IDENT,16)),1,0)</f>
        <v>0</v>
      </c>
      <c r="K6" s="157">
        <f t="shared" si="0"/>
        <v>3</v>
      </c>
      <c r="L6" s="159">
        <v>43204</v>
      </c>
      <c r="M6" s="159">
        <v>43296</v>
      </c>
      <c r="N6" s="159">
        <v>43388</v>
      </c>
    </row>
  </sheetData>
  <autoFilter ref="A4:P4"/>
  <mergeCells count="7">
    <mergeCell ref="W2:W4"/>
    <mergeCell ref="E2:F3"/>
    <mergeCell ref="P2:Q3"/>
    <mergeCell ref="S2:T3"/>
    <mergeCell ref="G2:G3"/>
    <mergeCell ref="L3:O3"/>
    <mergeCell ref="I2:M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ID</vt:lpstr>
      <vt:lpstr>Identification</vt:lpstr>
      <vt:lpstr>Numéros</vt:lpstr>
      <vt:lpstr>Mémo</vt:lpstr>
      <vt:lpstr>Avancement</vt:lpstr>
      <vt:lpstr>AVANCT</vt:lpstr>
      <vt:lpstr>IDENT</vt:lpstr>
      <vt:lpstr>IDT</vt:lpstr>
      <vt:lpstr>Liste</vt:lpstr>
      <vt:lpstr>MEMO</vt:lpstr>
      <vt:lpstr>NUM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COUCAUD</dc:creator>
  <cp:lastModifiedBy>Pascal COUCAUD</cp:lastModifiedBy>
  <cp:lastPrinted>2018-09-06T10:05:30Z</cp:lastPrinted>
  <dcterms:created xsi:type="dcterms:W3CDTF">2017-09-26T12:53:49Z</dcterms:created>
  <dcterms:modified xsi:type="dcterms:W3CDTF">2018-10-31T15:32:28Z</dcterms:modified>
</cp:coreProperties>
</file>