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mmal\Documents\Cours BTS CG1\P5\"/>
    </mc:Choice>
  </mc:AlternateContent>
  <xr:revisionPtr revIDLastSave="0" documentId="13_ncr:1_{1C81107B-B361-4549-B9BC-92914A8553F5}" xr6:coauthVersionLast="37" xr6:coauthVersionMax="37" xr10:uidLastSave="{00000000-0000-0000-0000-000000000000}"/>
  <bookViews>
    <workbookView xWindow="0" yWindow="0" windowWidth="20490" windowHeight="7485" xr2:uid="{00000000-000D-0000-FFFF-FFFF00000000}"/>
  </bookViews>
  <sheets>
    <sheet name="linePro" sheetId="5" r:id="rId1"/>
    <sheet name="Feuil1" sheetId="6" r:id="rId2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25" i="6" l="1"/>
  <c r="K25" i="5" s="1"/>
  <c r="L25" i="5" s="1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6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7" i="5"/>
  <c r="K6" i="5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6" i="6"/>
  <c r="F25" i="5"/>
  <c r="G25" i="5"/>
  <c r="H25" i="5"/>
  <c r="I25" i="5"/>
  <c r="J25" i="5"/>
  <c r="E25" i="5"/>
  <c r="D25" i="5"/>
  <c r="J11" i="6"/>
  <c r="I11" i="6"/>
  <c r="H11" i="6"/>
  <c r="F11" i="6"/>
  <c r="E11" i="6"/>
  <c r="D11" i="6"/>
  <c r="D11" i="5" s="1"/>
  <c r="D25" i="6" s="1"/>
  <c r="H7" i="6"/>
  <c r="G7" i="6"/>
  <c r="G7" i="5" s="1"/>
  <c r="F7" i="6"/>
  <c r="G11" i="6"/>
  <c r="E22" i="6"/>
  <c r="E22" i="5" s="1"/>
  <c r="G22" i="6"/>
  <c r="I21" i="5"/>
  <c r="I21" i="6"/>
  <c r="J10" i="5"/>
  <c r="I10" i="5"/>
  <c r="E10" i="5"/>
  <c r="J20" i="5"/>
  <c r="I20" i="5"/>
  <c r="E20" i="5"/>
  <c r="J20" i="6"/>
  <c r="I20" i="6"/>
  <c r="E20" i="6"/>
  <c r="J10" i="6"/>
  <c r="I10" i="6"/>
  <c r="E10" i="6"/>
  <c r="J12" i="5"/>
  <c r="J16" i="5"/>
  <c r="J18" i="5"/>
  <c r="J19" i="5"/>
  <c r="J21" i="5"/>
  <c r="J22" i="5"/>
  <c r="J23" i="5"/>
  <c r="J24" i="5"/>
  <c r="I8" i="5"/>
  <c r="I9" i="5"/>
  <c r="I11" i="5"/>
  <c r="I25" i="6" s="1"/>
  <c r="I14" i="5"/>
  <c r="I16" i="5"/>
  <c r="I17" i="5"/>
  <c r="I19" i="5"/>
  <c r="I22" i="5"/>
  <c r="H11" i="5"/>
  <c r="H15" i="5"/>
  <c r="H16" i="5"/>
  <c r="H21" i="5"/>
  <c r="H22" i="5"/>
  <c r="H23" i="5"/>
  <c r="G11" i="5"/>
  <c r="G15" i="5"/>
  <c r="G16" i="5"/>
  <c r="G21" i="5"/>
  <c r="G22" i="5"/>
  <c r="G23" i="5"/>
  <c r="F7" i="5"/>
  <c r="F11" i="5"/>
  <c r="F25" i="6" s="1"/>
  <c r="F15" i="5"/>
  <c r="F16" i="5"/>
  <c r="F21" i="5"/>
  <c r="F22" i="5"/>
  <c r="F23" i="5"/>
  <c r="E8" i="5"/>
  <c r="E11" i="5"/>
  <c r="E14" i="5"/>
  <c r="E16" i="5"/>
  <c r="E19" i="5"/>
  <c r="E21" i="5"/>
  <c r="E23" i="5"/>
  <c r="D13" i="5"/>
  <c r="D16" i="5"/>
  <c r="D21" i="5"/>
  <c r="D22" i="5"/>
  <c r="J6" i="5"/>
  <c r="I6" i="5"/>
  <c r="H6" i="5"/>
  <c r="G6" i="5"/>
  <c r="F6" i="5"/>
  <c r="E6" i="5"/>
  <c r="D6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7" i="5"/>
  <c r="C6" i="5"/>
  <c r="J24" i="6"/>
  <c r="J23" i="6"/>
  <c r="H23" i="6"/>
  <c r="G23" i="6"/>
  <c r="F23" i="6"/>
  <c r="E23" i="6"/>
  <c r="J22" i="6"/>
  <c r="I22" i="6"/>
  <c r="H22" i="6"/>
  <c r="F22" i="6"/>
  <c r="D22" i="6"/>
  <c r="J21" i="6"/>
  <c r="H21" i="6"/>
  <c r="G21" i="6"/>
  <c r="F21" i="6"/>
  <c r="E21" i="6"/>
  <c r="D21" i="6"/>
  <c r="J19" i="6"/>
  <c r="I19" i="6"/>
  <c r="E19" i="6"/>
  <c r="J18" i="6"/>
  <c r="I17" i="6"/>
  <c r="J16" i="6"/>
  <c r="I16" i="6"/>
  <c r="H16" i="6"/>
  <c r="G16" i="6"/>
  <c r="F16" i="6"/>
  <c r="E16" i="6"/>
  <c r="D16" i="6"/>
  <c r="H15" i="6"/>
  <c r="G15" i="6"/>
  <c r="F15" i="6"/>
  <c r="I14" i="6"/>
  <c r="E14" i="6"/>
  <c r="D13" i="6"/>
  <c r="J12" i="6"/>
  <c r="I9" i="6"/>
  <c r="I8" i="6"/>
  <c r="E8" i="6"/>
  <c r="J6" i="6"/>
  <c r="I6" i="6"/>
  <c r="H6" i="6"/>
  <c r="G6" i="6"/>
  <c r="F6" i="6"/>
  <c r="E6" i="6"/>
  <c r="D6" i="6"/>
  <c r="H7" i="5" l="1"/>
  <c r="H25" i="6"/>
  <c r="J11" i="5"/>
  <c r="J25" i="6" s="1"/>
  <c r="E25" i="6"/>
  <c r="G25" i="6"/>
</calcChain>
</file>

<file path=xl/sharedStrings.xml><?xml version="1.0" encoding="utf-8"?>
<sst xmlns="http://schemas.openxmlformats.org/spreadsheetml/2006/main" count="80" uniqueCount="40">
  <si>
    <t>Total répartition secondaire</t>
  </si>
  <si>
    <t>UO</t>
  </si>
  <si>
    <t>Amortissement des constructions</t>
  </si>
  <si>
    <t>Fournitures administratives</t>
  </si>
  <si>
    <t>Charges d'entretien</t>
  </si>
  <si>
    <t>Honoraires</t>
  </si>
  <si>
    <t>Déplacements</t>
  </si>
  <si>
    <t>Frais postaux</t>
  </si>
  <si>
    <t>Impôts et taxes</t>
  </si>
  <si>
    <t>Charges financières</t>
  </si>
  <si>
    <t>Charges supplétives</t>
  </si>
  <si>
    <t>Charges issues de la comptabilité générale</t>
  </si>
  <si>
    <t>Montant</t>
  </si>
  <si>
    <t>Amortissement des camions</t>
  </si>
  <si>
    <t>Assurance des locaux</t>
  </si>
  <si>
    <t>Main-d'œuvre</t>
  </si>
  <si>
    <t>Coût d'entretien</t>
  </si>
  <si>
    <t>Nombre d'UO</t>
  </si>
  <si>
    <t>Électricité</t>
  </si>
  <si>
    <t>Amortissement du mobilier de bureau</t>
  </si>
  <si>
    <t>Centres d'analyse</t>
  </si>
  <si>
    <t>Centres opérationnels</t>
  </si>
  <si>
    <t>Centre de structure</t>
  </si>
  <si>
    <t>Centre auxiliaire</t>
  </si>
  <si>
    <t>Centres principaux</t>
  </si>
  <si>
    <t>Amortissement des matériels industriels</t>
  </si>
  <si>
    <t>Amortissement du véhicule Renault Break</t>
  </si>
  <si>
    <t>Assurances des camions</t>
  </si>
  <si>
    <t>Assurances des matériels industriels</t>
  </si>
  <si>
    <t>Assurance du véhicule Renault Break</t>
  </si>
  <si>
    <t>Total répartition primaire</t>
  </si>
  <si>
    <t>Coût de l'UO</t>
  </si>
  <si>
    <t>Entretien</t>
  </si>
  <si>
    <t>Approv.</t>
  </si>
  <si>
    <t>Création</t>
  </si>
  <si>
    <t>Découpe</t>
  </si>
  <si>
    <t>Montage</t>
  </si>
  <si>
    <t>Distribution</t>
  </si>
  <si>
    <t>Admin.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</si>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</sst>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6" formatCode="#,##0.0000"/>
    <numFmt numFmtId="168" formatCode="0.000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2"/>
        <bgColor indexed="64"/>
      </patternFill>
    </fill>
  </fills>
  <borders count="8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22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39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 wrapText="1"/>
    </xf>
    <xf numFmtId="4" fontId="2" fillId="0" borderId="14" xfId="0" applyNumberFormat="1" applyFont="1" applyBorder="1" applyAlignment="1">
      <alignment horizontal="center" vertical="center" wrapText="1"/>
    </xf>
    <xf numFmtId="4" fontId="2" fillId="0" borderId="15" xfId="0" applyNumberFormat="1" applyFont="1" applyBorder="1" applyAlignment="1">
      <alignment horizontal="center" vertical="center" wrapText="1"/>
    </xf>
    <xf numFmtId="4" fontId="2" fillId="0" borderId="16" xfId="0" applyNumberFormat="1" applyFont="1" applyBorder="1" applyAlignment="1">
      <alignment horizontal="center" vertical="center" wrapText="1"/>
    </xf>
    <xf numFmtId="164" fontId="1" fillId="0" borderId="19" xfId="0" applyNumberFormat="1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164" fontId="1" fillId="0" borderId="20" xfId="0" applyNumberFormat="1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" fontId="1" fillId="0" borderId="3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4" fontId="2" fillId="0" borderId="42" xfId="0" applyNumberFormat="1" applyFont="1" applyBorder="1" applyAlignment="1">
      <alignment horizontal="center" vertical="center" wrapText="1"/>
    </xf>
    <xf numFmtId="164" fontId="1" fillId="0" borderId="44" xfId="0" applyNumberFormat="1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vertical="center"/>
    </xf>
    <xf numFmtId="4" fontId="1" fillId="0" borderId="25" xfId="0" applyNumberFormat="1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4" fontId="1" fillId="0" borderId="29" xfId="0" applyNumberFormat="1" applyFont="1" applyFill="1" applyBorder="1" applyAlignment="1">
      <alignment vertical="center"/>
    </xf>
    <xf numFmtId="4" fontId="2" fillId="0" borderId="39" xfId="0" applyNumberFormat="1" applyFont="1" applyBorder="1" applyAlignment="1">
      <alignment vertical="center"/>
    </xf>
    <xf numFmtId="4" fontId="2" fillId="0" borderId="25" xfId="0" applyNumberFormat="1" applyFont="1" applyBorder="1" applyAlignment="1">
      <alignment vertical="center"/>
    </xf>
    <xf numFmtId="3" fontId="2" fillId="0" borderId="43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4" fontId="2" fillId="0" borderId="40" xfId="0" applyNumberFormat="1" applyFont="1" applyBorder="1" applyAlignment="1">
      <alignment vertical="center"/>
    </xf>
    <xf numFmtId="4" fontId="2" fillId="0" borderId="29" xfId="0" applyNumberFormat="1" applyFont="1" applyBorder="1" applyAlignment="1">
      <alignment vertical="center"/>
    </xf>
    <xf numFmtId="4" fontId="2" fillId="0" borderId="41" xfId="0" applyNumberFormat="1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4" fontId="1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/>
    </xf>
    <xf numFmtId="0" fontId="1" fillId="0" borderId="13" xfId="0" applyFont="1" applyFill="1" applyBorder="1" applyAlignment="1">
      <alignment horizontal="left" vertical="center"/>
    </xf>
    <xf numFmtId="0" fontId="1" fillId="3" borderId="9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0" borderId="26" xfId="0" applyFont="1" applyFill="1" applyBorder="1" applyAlignment="1">
      <alignment horizontal="left" vertical="center"/>
    </xf>
    <xf numFmtId="0" fontId="2" fillId="0" borderId="28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66" fontId="2" fillId="0" borderId="1" xfId="0" applyNumberFormat="1" applyFont="1" applyFill="1" applyBorder="1" applyAlignment="1">
      <alignment vertical="center"/>
    </xf>
    <xf numFmtId="166" fontId="2" fillId="0" borderId="29" xfId="0" applyNumberFormat="1" applyFont="1" applyFill="1" applyBorder="1" applyAlignment="1">
      <alignment vertical="center"/>
    </xf>
    <xf numFmtId="166" fontId="2" fillId="0" borderId="30" xfId="0" applyNumberFormat="1" applyFont="1" applyFill="1" applyBorder="1" applyAlignment="1">
      <alignment vertical="center"/>
    </xf>
    <xf numFmtId="166" fontId="2" fillId="0" borderId="25" xfId="0" applyNumberFormat="1" applyFont="1" applyFill="1" applyBorder="1" applyAlignment="1">
      <alignment vertical="center"/>
    </xf>
    <xf numFmtId="166" fontId="2" fillId="0" borderId="26" xfId="0" applyNumberFormat="1" applyFont="1" applyFill="1" applyBorder="1" applyAlignment="1">
      <alignment vertical="center"/>
    </xf>
    <xf numFmtId="166" fontId="2" fillId="0" borderId="27" xfId="0" applyNumberFormat="1" applyFont="1" applyFill="1" applyBorder="1" applyAlignment="1">
      <alignment vertical="center"/>
    </xf>
    <xf numFmtId="166" fontId="2" fillId="0" borderId="28" xfId="0" applyNumberFormat="1" applyFont="1" applyFill="1" applyBorder="1" applyAlignment="1">
      <alignment vertical="center"/>
    </xf>
    <xf numFmtId="166" fontId="2" fillId="0" borderId="31" xfId="0" applyNumberFormat="1" applyFont="1" applyFill="1" applyBorder="1" applyAlignment="1">
      <alignment vertical="center"/>
    </xf>
    <xf numFmtId="2" fontId="2" fillId="0" borderId="32" xfId="0" applyNumberFormat="1" applyFont="1" applyFill="1" applyBorder="1" applyAlignment="1">
      <alignment vertical="center"/>
    </xf>
    <xf numFmtId="2" fontId="2" fillId="0" borderId="26" xfId="0" applyNumberFormat="1" applyFont="1" applyFill="1" applyBorder="1" applyAlignment="1">
      <alignment vertical="center"/>
    </xf>
    <xf numFmtId="2" fontId="2" fillId="0" borderId="27" xfId="0" applyNumberFormat="1" applyFont="1" applyFill="1" applyBorder="1" applyAlignment="1">
      <alignment vertical="center"/>
    </xf>
    <xf numFmtId="2" fontId="2" fillId="0" borderId="28" xfId="0" applyNumberFormat="1" applyFont="1" applyFill="1" applyBorder="1" applyAlignment="1">
      <alignment vertical="center"/>
    </xf>
    <xf numFmtId="2" fontId="1" fillId="2" borderId="3" xfId="0" applyNumberFormat="1" applyFont="1" applyFill="1" applyBorder="1" applyAlignment="1">
      <alignment vertical="center"/>
    </xf>
    <xf numFmtId="2" fontId="1" fillId="2" borderId="7" xfId="0" applyNumberFormat="1" applyFont="1" applyFill="1" applyBorder="1" applyAlignment="1">
      <alignment vertical="center"/>
    </xf>
    <xf numFmtId="2" fontId="1" fillId="2" borderId="4" xfId="0" applyNumberFormat="1" applyFont="1" applyFill="1" applyBorder="1" applyAlignment="1">
      <alignment vertical="center"/>
    </xf>
    <xf numFmtId="2" fontId="1" fillId="2" borderId="5" xfId="0" applyNumberFormat="1" applyFont="1" applyFill="1" applyBorder="1" applyAlignment="1">
      <alignment vertical="center"/>
    </xf>
    <xf numFmtId="168" fontId="2" fillId="0" borderId="29" xfId="1" applyNumberFormat="1" applyFont="1" applyFill="1" applyBorder="1" applyAlignment="1">
      <alignment vertical="center"/>
    </xf>
    <xf numFmtId="168" fontId="2" fillId="0" borderId="30" xfId="1" applyNumberFormat="1" applyFont="1" applyFill="1" applyBorder="1" applyAlignment="1">
      <alignment vertical="center"/>
    </xf>
    <xf numFmtId="168" fontId="2" fillId="0" borderId="1" xfId="1" applyNumberFormat="1" applyFont="1" applyFill="1" applyBorder="1" applyAlignment="1">
      <alignment vertical="center"/>
    </xf>
    <xf numFmtId="168" fontId="2" fillId="0" borderId="31" xfId="1" applyNumberFormat="1" applyFont="1" applyFill="1" applyBorder="1" applyAlignment="1">
      <alignment vertical="center"/>
    </xf>
    <xf numFmtId="4" fontId="1" fillId="0" borderId="3" xfId="1" applyNumberFormat="1" applyFont="1" applyFill="1" applyBorder="1" applyAlignment="1">
      <alignment vertical="center"/>
    </xf>
    <xf numFmtId="0" fontId="1" fillId="2" borderId="46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horizontal="left" vertical="center"/>
    </xf>
    <xf numFmtId="4" fontId="2" fillId="0" borderId="49" xfId="0" applyNumberFormat="1" applyFont="1" applyFill="1" applyBorder="1" applyAlignment="1">
      <alignment vertical="center"/>
    </xf>
    <xf numFmtId="4" fontId="2" fillId="0" borderId="49" xfId="0" applyNumberFormat="1" applyFont="1" applyBorder="1" applyAlignment="1">
      <alignment vertical="center"/>
    </xf>
    <xf numFmtId="3" fontId="2" fillId="0" borderId="49" xfId="0" applyNumberFormat="1" applyFont="1" applyBorder="1" applyAlignment="1">
      <alignment horizontal="center" vertical="center"/>
    </xf>
    <xf numFmtId="4" fontId="1" fillId="0" borderId="53" xfId="0" applyNumberFormat="1" applyFont="1" applyFill="1" applyBorder="1" applyAlignment="1">
      <alignment vertical="center"/>
    </xf>
    <xf numFmtId="4" fontId="1" fillId="0" borderId="54" xfId="0" applyNumberFormat="1" applyFont="1" applyFill="1" applyBorder="1" applyAlignment="1">
      <alignment vertical="center"/>
    </xf>
    <xf numFmtId="4" fontId="1" fillId="0" borderId="55" xfId="0" applyNumberFormat="1" applyFont="1" applyFill="1" applyBorder="1" applyAlignment="1">
      <alignment vertical="center"/>
    </xf>
    <xf numFmtId="0" fontId="1" fillId="2" borderId="56" xfId="0" applyFont="1" applyFill="1" applyBorder="1" applyAlignment="1">
      <alignment horizontal="left" vertical="center"/>
    </xf>
    <xf numFmtId="0" fontId="1" fillId="2" borderId="57" xfId="0" applyFont="1" applyFill="1" applyBorder="1" applyAlignment="1">
      <alignment horizontal="left" vertical="center"/>
    </xf>
    <xf numFmtId="2" fontId="1" fillId="2" borderId="58" xfId="0" applyNumberFormat="1" applyFont="1" applyFill="1" applyBorder="1" applyAlignment="1">
      <alignment vertical="center"/>
    </xf>
    <xf numFmtId="4" fontId="2" fillId="0" borderId="59" xfId="0" applyNumberFormat="1" applyFont="1" applyBorder="1" applyAlignment="1">
      <alignment horizontal="center" vertical="center" wrapText="1"/>
    </xf>
    <xf numFmtId="4" fontId="2" fillId="0" borderId="59" xfId="0" applyNumberFormat="1" applyFont="1" applyBorder="1" applyAlignment="1">
      <alignment vertical="center"/>
    </xf>
    <xf numFmtId="4" fontId="2" fillId="0" borderId="60" xfId="0" applyNumberFormat="1" applyFont="1" applyBorder="1" applyAlignment="1">
      <alignment vertical="center"/>
    </xf>
    <xf numFmtId="4" fontId="2" fillId="0" borderId="61" xfId="0" applyNumberFormat="1" applyFont="1" applyBorder="1" applyAlignment="1">
      <alignment vertical="center"/>
    </xf>
    <xf numFmtId="164" fontId="1" fillId="0" borderId="62" xfId="0" applyNumberFormat="1" applyFont="1" applyFill="1" applyBorder="1" applyAlignment="1">
      <alignment horizontal="center" vertical="center"/>
    </xf>
    <xf numFmtId="4" fontId="2" fillId="0" borderId="62" xfId="0" applyNumberFormat="1" applyFont="1" applyBorder="1" applyAlignment="1">
      <alignment vertical="center"/>
    </xf>
    <xf numFmtId="4" fontId="2" fillId="0" borderId="63" xfId="0" applyNumberFormat="1" applyFont="1" applyBorder="1" applyAlignment="1">
      <alignment vertical="center"/>
    </xf>
    <xf numFmtId="4" fontId="2" fillId="0" borderId="64" xfId="0" applyNumberFormat="1" applyFont="1" applyBorder="1" applyAlignment="1">
      <alignment horizontal="center" vertical="center" wrapText="1"/>
    </xf>
    <xf numFmtId="3" fontId="2" fillId="0" borderId="52" xfId="0" applyNumberFormat="1" applyFont="1" applyBorder="1" applyAlignment="1">
      <alignment horizontal="center" vertical="center"/>
    </xf>
    <xf numFmtId="164" fontId="1" fillId="0" borderId="65" xfId="0" applyNumberFormat="1" applyFont="1" applyFill="1" applyBorder="1" applyAlignment="1">
      <alignment horizontal="center" vertical="center"/>
    </xf>
    <xf numFmtId="2" fontId="2" fillId="0" borderId="51" xfId="0" applyNumberFormat="1" applyFont="1" applyFill="1" applyBorder="1" applyAlignment="1">
      <alignment vertical="center"/>
    </xf>
    <xf numFmtId="4" fontId="1" fillId="0" borderId="66" xfId="1" applyNumberFormat="1" applyFont="1" applyFill="1" applyBorder="1" applyAlignment="1">
      <alignment vertical="center"/>
    </xf>
    <xf numFmtId="4" fontId="1" fillId="0" borderId="63" xfId="1" applyNumberFormat="1" applyFont="1" applyFill="1" applyBorder="1" applyAlignment="1">
      <alignment vertical="center"/>
    </xf>
    <xf numFmtId="0" fontId="1" fillId="2" borderId="68" xfId="0" applyFont="1" applyFill="1" applyBorder="1" applyAlignment="1">
      <alignment horizontal="center" vertical="center" wrapText="1"/>
    </xf>
    <xf numFmtId="4" fontId="2" fillId="0" borderId="64" xfId="0" applyNumberFormat="1" applyFont="1" applyFill="1" applyBorder="1" applyAlignment="1">
      <alignment vertical="center"/>
    </xf>
    <xf numFmtId="2" fontId="2" fillId="0" borderId="69" xfId="0" applyNumberFormat="1" applyFont="1" applyFill="1" applyBorder="1" applyAlignment="1">
      <alignment vertical="center"/>
    </xf>
    <xf numFmtId="2" fontId="1" fillId="2" borderId="70" xfId="0" applyNumberFormat="1" applyFont="1" applyFill="1" applyBorder="1" applyAlignment="1">
      <alignment vertical="center"/>
    </xf>
    <xf numFmtId="0" fontId="1" fillId="0" borderId="12" xfId="0" applyFont="1" applyBorder="1" applyAlignment="1">
      <alignment horizontal="center" vertical="center" wrapText="1"/>
    </xf>
    <xf numFmtId="4" fontId="2" fillId="0" borderId="53" xfId="0" applyNumberFormat="1" applyFont="1" applyFill="1" applyBorder="1" applyAlignment="1">
      <alignment vertical="center"/>
    </xf>
    <xf numFmtId="4" fontId="2" fillId="0" borderId="54" xfId="0" applyNumberFormat="1" applyFont="1" applyFill="1" applyBorder="1" applyAlignment="1">
      <alignment vertical="center"/>
    </xf>
    <xf numFmtId="4" fontId="1" fillId="0" borderId="55" xfId="1" applyNumberFormat="1" applyFont="1" applyFill="1" applyBorder="1" applyAlignment="1">
      <alignment vertical="center"/>
    </xf>
    <xf numFmtId="2" fontId="2" fillId="0" borderId="71" xfId="0" applyNumberFormat="1" applyFont="1" applyFill="1" applyBorder="1" applyAlignment="1">
      <alignment vertical="center"/>
    </xf>
    <xf numFmtId="2" fontId="1" fillId="2" borderId="63" xfId="0" applyNumberFormat="1" applyFont="1" applyFill="1" applyBorder="1" applyAlignment="1">
      <alignment vertical="center"/>
    </xf>
    <xf numFmtId="2" fontId="2" fillId="0" borderId="60" xfId="0" applyNumberFormat="1" applyFont="1" applyFill="1" applyBorder="1" applyAlignment="1">
      <alignment vertical="center"/>
    </xf>
    <xf numFmtId="4" fontId="2" fillId="0" borderId="72" xfId="0" applyNumberFormat="1" applyFont="1" applyFill="1" applyBorder="1" applyAlignment="1">
      <alignment vertical="center"/>
    </xf>
    <xf numFmtId="4" fontId="2" fillId="0" borderId="73" xfId="0" applyNumberFormat="1" applyFont="1" applyFill="1" applyBorder="1" applyAlignment="1">
      <alignment vertical="center"/>
    </xf>
    <xf numFmtId="4" fontId="2" fillId="0" borderId="75" xfId="0" applyNumberFormat="1" applyFont="1" applyFill="1" applyBorder="1" applyAlignment="1">
      <alignment vertical="center"/>
    </xf>
    <xf numFmtId="4" fontId="2" fillId="0" borderId="76" xfId="0" applyNumberFormat="1" applyFont="1" applyFill="1" applyBorder="1" applyAlignment="1">
      <alignment vertical="center"/>
    </xf>
    <xf numFmtId="0" fontId="1" fillId="0" borderId="77" xfId="0" applyFont="1" applyBorder="1" applyAlignment="1">
      <alignment horizontal="center" vertical="center" wrapText="1"/>
    </xf>
    <xf numFmtId="4" fontId="2" fillId="0" borderId="78" xfId="0" applyNumberFormat="1" applyFont="1" applyFill="1" applyBorder="1" applyAlignment="1">
      <alignment vertical="center"/>
    </xf>
    <xf numFmtId="4" fontId="2" fillId="0" borderId="45" xfId="0" applyNumberFormat="1" applyFont="1" applyFill="1" applyBorder="1" applyAlignment="1">
      <alignment vertical="center"/>
    </xf>
    <xf numFmtId="4" fontId="2" fillId="0" borderId="79" xfId="0" applyNumberFormat="1" applyFont="1" applyFill="1" applyBorder="1" applyAlignment="1">
      <alignment vertical="center"/>
    </xf>
    <xf numFmtId="4" fontId="2" fillId="0" borderId="80" xfId="0" applyNumberFormat="1" applyFont="1" applyFill="1" applyBorder="1" applyAlignment="1">
      <alignment vertical="center"/>
    </xf>
    <xf numFmtId="0" fontId="2" fillId="0" borderId="61" xfId="0" applyFont="1" applyBorder="1" applyAlignment="1">
      <alignment vertical="center"/>
    </xf>
    <xf numFmtId="0" fontId="2" fillId="0" borderId="63" xfId="0" applyFont="1" applyBorder="1" applyAlignment="1">
      <alignment vertical="center"/>
    </xf>
    <xf numFmtId="0" fontId="1" fillId="0" borderId="78" xfId="0" applyFont="1" applyBorder="1" applyAlignment="1">
      <alignment horizontal="center" vertical="center" wrapText="1"/>
    </xf>
    <xf numFmtId="0" fontId="1" fillId="0" borderId="74" xfId="0" applyFont="1" applyBorder="1" applyAlignment="1">
      <alignment horizontal="center" vertical="center" wrapText="1"/>
    </xf>
    <xf numFmtId="166" fontId="2" fillId="0" borderId="24" xfId="0" applyNumberFormat="1" applyFont="1" applyFill="1" applyBorder="1" applyAlignment="1">
      <alignment vertical="center"/>
    </xf>
    <xf numFmtId="166" fontId="2" fillId="0" borderId="11" xfId="0" applyNumberFormat="1" applyFont="1" applyFill="1" applyBorder="1" applyAlignment="1">
      <alignment vertical="center"/>
    </xf>
    <xf numFmtId="168" fontId="2" fillId="0" borderId="11" xfId="1" applyNumberFormat="1" applyFont="1" applyFill="1" applyBorder="1" applyAlignment="1">
      <alignment vertical="center"/>
    </xf>
    <xf numFmtId="0" fontId="2" fillId="0" borderId="67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166" fontId="2" fillId="0" borderId="50" xfId="0" applyNumberFormat="1" applyFont="1" applyBorder="1" applyAlignment="1">
      <alignment vertical="center"/>
    </xf>
    <xf numFmtId="4" fontId="1" fillId="0" borderId="50" xfId="0" applyNumberFormat="1" applyFont="1" applyBorder="1" applyAlignment="1">
      <alignment vertical="center"/>
    </xf>
    <xf numFmtId="4" fontId="1" fillId="0" borderId="66" xfId="0" applyNumberFormat="1" applyFont="1" applyBorder="1" applyAlignment="1">
      <alignment vertical="center"/>
    </xf>
    <xf numFmtId="4" fontId="1" fillId="0" borderId="81" xfId="1" applyNumberFormat="1" applyFont="1" applyFill="1" applyBorder="1" applyAlignment="1">
      <alignment vertical="center"/>
    </xf>
    <xf numFmtId="4" fontId="1" fillId="0" borderId="82" xfId="1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4" borderId="0" xfId="0" applyFont="1" applyFill="1" applyAlignment="1">
      <alignment vertical="center"/>
    </xf>
  </cellXfs>
  <cellStyles count="2">
    <cellStyle name="Normal" xfId="0" builtinId="0"/>
    <cellStyle name="Pourcentage" xfId="1" builtinId="5"/>
  </cellStyles>
  <dxfs count="1">
    <dxf>
      <font>
        <b/>
        <i val="0"/>
        <color rgb="FFFF0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N31"/>
  <sheetViews>
    <sheetView showGridLines="0" tabSelected="1" zoomScale="70" zoomScaleNormal="70" workbookViewId="0">
      <pane xSplit="3" ySplit="5" topLeftCell="D18" activePane="bottomRight" state="frozen"/>
      <selection pane="topRight" activeCell="C1" sqref="C1"/>
      <selection pane="bottomLeft" activeCell="A5" sqref="A5"/>
      <selection pane="bottomRight" activeCell="L27" sqref="L27"/>
    </sheetView>
  </sheetViews>
  <sheetFormatPr baseColWidth="10" defaultRowHeight="12.75" x14ac:dyDescent="0.2"/>
  <cols>
    <col min="1" max="1" width="2.7109375" style="15" customWidth="1"/>
    <col min="2" max="2" width="42.140625" style="15" customWidth="1"/>
    <col min="3" max="3" width="11.5703125" style="34" customWidth="1"/>
    <col min="4" max="4" width="10.42578125" style="15" customWidth="1"/>
    <col min="5" max="8" width="10.85546875" style="15" customWidth="1"/>
    <col min="9" max="10" width="11.85546875" style="15" customWidth="1"/>
    <col min="11" max="16384" width="11.42578125" style="15"/>
  </cols>
  <sheetData>
    <row r="1" spans="2:14" x14ac:dyDescent="0.2">
      <c r="B1" s="32"/>
      <c r="C1" s="33"/>
      <c r="D1" s="32"/>
      <c r="E1" s="32"/>
      <c r="F1" s="32"/>
      <c r="G1" s="32"/>
      <c r="H1" s="32"/>
      <c r="I1" s="32"/>
      <c r="J1" s="32"/>
    </row>
    <row r="2" spans="2:14" ht="24" customHeight="1" x14ac:dyDescent="0.2">
      <c r="D2" s="37" t="s">
        <v>20</v>
      </c>
      <c r="E2" s="37"/>
      <c r="F2" s="37"/>
      <c r="G2" s="37"/>
      <c r="H2" s="37"/>
      <c r="I2" s="37"/>
      <c r="J2" s="37"/>
    </row>
    <row r="3" spans="2:14" ht="25.5" customHeight="1" x14ac:dyDescent="0.2">
      <c r="D3" s="53" t="s">
        <v>21</v>
      </c>
      <c r="E3" s="53"/>
      <c r="F3" s="53"/>
      <c r="G3" s="53"/>
      <c r="H3" s="53"/>
      <c r="I3" s="53"/>
      <c r="J3" s="38" t="s">
        <v>22</v>
      </c>
    </row>
    <row r="4" spans="2:14" ht="27" customHeight="1" x14ac:dyDescent="0.2">
      <c r="D4" s="1" t="s">
        <v>23</v>
      </c>
      <c r="E4" s="54" t="s">
        <v>24</v>
      </c>
      <c r="F4" s="55"/>
      <c r="G4" s="55"/>
      <c r="H4" s="55"/>
      <c r="I4" s="56"/>
      <c r="J4" s="39"/>
    </row>
    <row r="5" spans="2:14" s="13" customFormat="1" ht="25.5" customHeight="1" x14ac:dyDescent="0.2">
      <c r="B5" s="2" t="s">
        <v>11</v>
      </c>
      <c r="C5" s="3" t="s">
        <v>12</v>
      </c>
      <c r="D5" s="107" t="s">
        <v>32</v>
      </c>
      <c r="E5" s="103" t="s">
        <v>33</v>
      </c>
      <c r="F5" s="78" t="s">
        <v>34</v>
      </c>
      <c r="G5" s="78" t="s">
        <v>35</v>
      </c>
      <c r="H5" s="78" t="s">
        <v>36</v>
      </c>
      <c r="I5" s="79" t="s">
        <v>37</v>
      </c>
      <c r="J5" s="118" t="s">
        <v>38</v>
      </c>
      <c r="K5" s="125" t="s">
        <v>39</v>
      </c>
      <c r="L5" s="126"/>
      <c r="N5" s="137"/>
    </row>
    <row r="6" spans="2:14" ht="18" customHeight="1" x14ac:dyDescent="0.2">
      <c r="B6" s="18" t="s">
        <v>2</v>
      </c>
      <c r="C6" s="84">
        <f>Feuil1!C6</f>
        <v>15000</v>
      </c>
      <c r="D6" s="108">
        <f>Feuil1!D6*Feuil1!C6</f>
        <v>1500</v>
      </c>
      <c r="E6" s="104">
        <f>Feuil1!E6*Feuil1!C6</f>
        <v>1500</v>
      </c>
      <c r="F6" s="115">
        <f>Feuil1!F6*Feuil1!C6</f>
        <v>3250</v>
      </c>
      <c r="G6" s="115">
        <f>Feuil1!G6*Feuil1!C6</f>
        <v>3250</v>
      </c>
      <c r="H6" s="115">
        <f>Feuil1!H6*Feuil1!C6</f>
        <v>3250</v>
      </c>
      <c r="I6" s="116">
        <f>Feuil1!I6*Feuil1!C6</f>
        <v>750</v>
      </c>
      <c r="J6" s="119">
        <f>Feuil1!J6*Feuil1!C6</f>
        <v>1500</v>
      </c>
      <c r="K6" s="133">
        <f>Feuil1!K6</f>
        <v>15000</v>
      </c>
      <c r="L6" s="123" t="str">
        <f>IF(C6=K6, "Juste", "FAUX")</f>
        <v>Juste</v>
      </c>
    </row>
    <row r="7" spans="2:14" ht="18" customHeight="1" x14ac:dyDescent="0.2">
      <c r="B7" s="20" t="s">
        <v>25</v>
      </c>
      <c r="C7" s="85">
        <f>Feuil1!C7</f>
        <v>31200</v>
      </c>
      <c r="D7" s="109"/>
      <c r="E7" s="114"/>
      <c r="F7" s="81">
        <f>Feuil1!F7*Feuil1!C7</f>
        <v>3999.9999999999995</v>
      </c>
      <c r="G7" s="81">
        <f>Feuil1!G7*Feuil1!C7</f>
        <v>21200</v>
      </c>
      <c r="H7" s="81">
        <f>Feuil1!H7*Feuil1!C7</f>
        <v>6000</v>
      </c>
      <c r="I7" s="117"/>
      <c r="J7" s="120"/>
      <c r="K7" s="133">
        <f>Feuil1!K7</f>
        <v>31200</v>
      </c>
      <c r="L7" s="123" t="str">
        <f t="shared" ref="L7:L25" si="0">IF(C7=K7, "Juste", "FAUX")</f>
        <v>Juste</v>
      </c>
    </row>
    <row r="8" spans="2:14" ht="18" customHeight="1" x14ac:dyDescent="0.2">
      <c r="B8" s="20" t="s">
        <v>13</v>
      </c>
      <c r="C8" s="85">
        <f>Feuil1!C8</f>
        <v>18600</v>
      </c>
      <c r="D8" s="109"/>
      <c r="E8" s="114">
        <f>Feuil1!E8*Feuil1!C8</f>
        <v>12090</v>
      </c>
      <c r="F8" s="81"/>
      <c r="G8" s="81"/>
      <c r="H8" s="81"/>
      <c r="I8" s="117">
        <f>Feuil1!I8*Feuil1!C8</f>
        <v>6510</v>
      </c>
      <c r="J8" s="121"/>
      <c r="K8" s="133">
        <f>Feuil1!K8</f>
        <v>18600</v>
      </c>
      <c r="L8" s="123" t="str">
        <f t="shared" si="0"/>
        <v>Juste</v>
      </c>
    </row>
    <row r="9" spans="2:14" ht="18" customHeight="1" x14ac:dyDescent="0.2">
      <c r="B9" s="20" t="s">
        <v>26</v>
      </c>
      <c r="C9" s="85">
        <f>Feuil1!C9</f>
        <v>4400</v>
      </c>
      <c r="D9" s="109"/>
      <c r="E9" s="114"/>
      <c r="F9" s="81"/>
      <c r="G9" s="81"/>
      <c r="H9" s="81"/>
      <c r="I9" s="117">
        <f>Feuil1!I9*Feuil1!C9</f>
        <v>4400</v>
      </c>
      <c r="J9" s="121"/>
      <c r="K9" s="133">
        <f>Feuil1!K9</f>
        <v>4400</v>
      </c>
      <c r="L9" s="123" t="str">
        <f t="shared" si="0"/>
        <v>Juste</v>
      </c>
    </row>
    <row r="10" spans="2:14" ht="18" customHeight="1" x14ac:dyDescent="0.2">
      <c r="B10" s="20" t="s">
        <v>19</v>
      </c>
      <c r="C10" s="85">
        <f>Feuil1!C10</f>
        <v>4000</v>
      </c>
      <c r="D10" s="109"/>
      <c r="E10" s="114">
        <f>Feuil1!E10*Feuil1!C10</f>
        <v>200</v>
      </c>
      <c r="F10" s="81"/>
      <c r="G10" s="81"/>
      <c r="H10" s="81"/>
      <c r="I10" s="117">
        <f>Feuil1!I10*Feuil1!C10</f>
        <v>600</v>
      </c>
      <c r="J10" s="122">
        <f>Feuil1!J10*Feuil1!C10</f>
        <v>3200</v>
      </c>
      <c r="K10" s="133">
        <f>Feuil1!K10</f>
        <v>4000</v>
      </c>
      <c r="L10" s="123" t="str">
        <f t="shared" si="0"/>
        <v>Juste</v>
      </c>
    </row>
    <row r="11" spans="2:14" ht="18" customHeight="1" x14ac:dyDescent="0.2">
      <c r="B11" s="20" t="s">
        <v>18</v>
      </c>
      <c r="C11" s="85">
        <f>Feuil1!C11</f>
        <v>13100</v>
      </c>
      <c r="D11" s="109">
        <f>Feuil1!D11*Feuil1!C11</f>
        <v>1250</v>
      </c>
      <c r="E11" s="114">
        <f>Feuil1!E11*Feuil1!C11</f>
        <v>900</v>
      </c>
      <c r="F11" s="81">
        <f>Feuil1!F11*Feuil1!C11</f>
        <v>2400</v>
      </c>
      <c r="G11" s="81">
        <f>Feuil1!G11*Feuil1!C11</f>
        <v>3349.9999999999995</v>
      </c>
      <c r="H11" s="81">
        <f>Feuil1!H11*Feuil1!C11</f>
        <v>2800</v>
      </c>
      <c r="I11" s="117">
        <f>Feuil1!I11*Feuil1!C11</f>
        <v>900</v>
      </c>
      <c r="J11" s="122">
        <f>Feuil1!J11*Feuil1!C11</f>
        <v>1500</v>
      </c>
      <c r="K11" s="133">
        <f>Feuil1!K11</f>
        <v>13100</v>
      </c>
      <c r="L11" s="123" t="str">
        <f t="shared" si="0"/>
        <v>Juste</v>
      </c>
    </row>
    <row r="12" spans="2:14" ht="18" customHeight="1" x14ac:dyDescent="0.2">
      <c r="B12" s="20" t="s">
        <v>3</v>
      </c>
      <c r="C12" s="85">
        <f>Feuil1!C12</f>
        <v>2900</v>
      </c>
      <c r="D12" s="109"/>
      <c r="E12" s="114"/>
      <c r="F12" s="81"/>
      <c r="G12" s="81"/>
      <c r="H12" s="81"/>
      <c r="I12" s="117"/>
      <c r="J12" s="122">
        <f>Feuil1!J12*Feuil1!C12</f>
        <v>2900</v>
      </c>
      <c r="K12" s="133">
        <f>Feuil1!K12</f>
        <v>2900</v>
      </c>
      <c r="L12" s="123" t="str">
        <f t="shared" si="0"/>
        <v>Juste</v>
      </c>
    </row>
    <row r="13" spans="2:14" ht="18" customHeight="1" x14ac:dyDescent="0.2">
      <c r="B13" s="20" t="s">
        <v>4</v>
      </c>
      <c r="C13" s="85">
        <f>Feuil1!C13</f>
        <v>44400</v>
      </c>
      <c r="D13" s="109">
        <f>Feuil1!D13*Feuil1!C13</f>
        <v>44400</v>
      </c>
      <c r="E13" s="114"/>
      <c r="F13" s="81"/>
      <c r="G13" s="81"/>
      <c r="H13" s="81"/>
      <c r="I13" s="117"/>
      <c r="J13" s="122"/>
      <c r="K13" s="133">
        <f>Feuil1!K13</f>
        <v>44400</v>
      </c>
      <c r="L13" s="123" t="str">
        <f t="shared" si="0"/>
        <v>Juste</v>
      </c>
    </row>
    <row r="14" spans="2:14" ht="18" customHeight="1" x14ac:dyDescent="0.2">
      <c r="B14" s="20" t="s">
        <v>27</v>
      </c>
      <c r="C14" s="85">
        <f>Feuil1!C14</f>
        <v>5600</v>
      </c>
      <c r="D14" s="109"/>
      <c r="E14" s="114">
        <f>Feuil1!E14*Feuil1!C14</f>
        <v>3640</v>
      </c>
      <c r="F14" s="81"/>
      <c r="G14" s="81"/>
      <c r="H14" s="81"/>
      <c r="I14" s="117">
        <f>Feuil1!I14*Feuil1!C14</f>
        <v>1959.9999999999998</v>
      </c>
      <c r="J14" s="122"/>
      <c r="K14" s="133">
        <f>Feuil1!K14</f>
        <v>5600</v>
      </c>
      <c r="L14" s="123" t="str">
        <f t="shared" si="0"/>
        <v>Juste</v>
      </c>
    </row>
    <row r="15" spans="2:14" ht="18" customHeight="1" x14ac:dyDescent="0.2">
      <c r="B15" s="20" t="s">
        <v>28</v>
      </c>
      <c r="C15" s="85">
        <f>Feuil1!C15</f>
        <v>8000</v>
      </c>
      <c r="D15" s="109"/>
      <c r="E15" s="114"/>
      <c r="F15" s="81">
        <f>Feuil1!F15*Feuil1!C15</f>
        <v>1025.6000000000001</v>
      </c>
      <c r="G15" s="81">
        <f>Feuil1!G15*Feuil1!C15</f>
        <v>5436</v>
      </c>
      <c r="H15" s="81">
        <f>Feuil1!H15*Feuil1!C15</f>
        <v>1538.4</v>
      </c>
      <c r="I15" s="117"/>
      <c r="J15" s="122"/>
      <c r="K15" s="133">
        <f>Feuil1!K15</f>
        <v>8000</v>
      </c>
      <c r="L15" s="123" t="str">
        <f t="shared" si="0"/>
        <v>Juste</v>
      </c>
      <c r="N15" s="138"/>
    </row>
    <row r="16" spans="2:14" ht="18" customHeight="1" x14ac:dyDescent="0.2">
      <c r="B16" s="20" t="s">
        <v>14</v>
      </c>
      <c r="C16" s="85">
        <f>Feuil1!C16</f>
        <v>4000</v>
      </c>
      <c r="D16" s="109">
        <f>Feuil1!D16*Feuil1!C16</f>
        <v>400</v>
      </c>
      <c r="E16" s="114">
        <f>Feuil1!E16*Feuil1!C16</f>
        <v>400</v>
      </c>
      <c r="F16" s="81">
        <f>Feuil1!F16*Feuil1!C16</f>
        <v>866.66666666666674</v>
      </c>
      <c r="G16" s="81">
        <f>Feuil1!G16*Feuil1!C16</f>
        <v>866.66666666666674</v>
      </c>
      <c r="H16" s="81">
        <f>Feuil1!H16*Feuil1!C16</f>
        <v>866.66666666666674</v>
      </c>
      <c r="I16" s="117">
        <f>Feuil1!I16*Feuil1!C16</f>
        <v>200</v>
      </c>
      <c r="J16" s="122">
        <f>Feuil1!J16*Feuil1!C16</f>
        <v>400</v>
      </c>
      <c r="K16" s="133">
        <f>Feuil1!K16</f>
        <v>4000</v>
      </c>
      <c r="L16" s="123" t="str">
        <f t="shared" si="0"/>
        <v>Juste</v>
      </c>
    </row>
    <row r="17" spans="2:12" ht="18" customHeight="1" x14ac:dyDescent="0.2">
      <c r="B17" s="20" t="s">
        <v>29</v>
      </c>
      <c r="C17" s="85">
        <f>Feuil1!C17</f>
        <v>1200</v>
      </c>
      <c r="D17" s="109"/>
      <c r="E17" s="114"/>
      <c r="F17" s="81"/>
      <c r="G17" s="81"/>
      <c r="H17" s="81"/>
      <c r="I17" s="117">
        <f>Feuil1!I17*Feuil1!C17</f>
        <v>1200</v>
      </c>
      <c r="J17" s="122"/>
      <c r="K17" s="133">
        <f>Feuil1!K17</f>
        <v>1200</v>
      </c>
      <c r="L17" s="123" t="str">
        <f t="shared" si="0"/>
        <v>Juste</v>
      </c>
    </row>
    <row r="18" spans="2:12" ht="18" customHeight="1" x14ac:dyDescent="0.2">
      <c r="B18" s="20" t="s">
        <v>5</v>
      </c>
      <c r="C18" s="85">
        <f>Feuil1!C18</f>
        <v>3200</v>
      </c>
      <c r="D18" s="109"/>
      <c r="E18" s="114"/>
      <c r="F18" s="81"/>
      <c r="G18" s="81"/>
      <c r="H18" s="81"/>
      <c r="I18" s="117"/>
      <c r="J18" s="122">
        <f>Feuil1!J18*Feuil1!C18</f>
        <v>3200</v>
      </c>
      <c r="K18" s="133">
        <f>Feuil1!K18</f>
        <v>3200</v>
      </c>
      <c r="L18" s="123" t="str">
        <f t="shared" si="0"/>
        <v>Juste</v>
      </c>
    </row>
    <row r="19" spans="2:12" ht="18" customHeight="1" x14ac:dyDescent="0.2">
      <c r="B19" s="20" t="s">
        <v>6</v>
      </c>
      <c r="C19" s="85">
        <f>Feuil1!C19</f>
        <v>60200</v>
      </c>
      <c r="D19" s="109"/>
      <c r="E19" s="114">
        <f>Feuil1!E19*Feuil1!C19</f>
        <v>19998.439999999999</v>
      </c>
      <c r="F19" s="81"/>
      <c r="G19" s="81"/>
      <c r="H19" s="81"/>
      <c r="I19" s="117">
        <f>Feuil1!I19*Feuil1!C19</f>
        <v>32002.319999999996</v>
      </c>
      <c r="J19" s="122">
        <f>Feuil1!J19*Feuil1!C19</f>
        <v>8199.24</v>
      </c>
      <c r="K19" s="133">
        <f>Feuil1!K19</f>
        <v>60199.999999999993</v>
      </c>
      <c r="L19" s="123" t="str">
        <f t="shared" si="0"/>
        <v>Juste</v>
      </c>
    </row>
    <row r="20" spans="2:12" ht="18" customHeight="1" x14ac:dyDescent="0.2">
      <c r="B20" s="20" t="s">
        <v>7</v>
      </c>
      <c r="C20" s="85">
        <f>Feuil1!C20</f>
        <v>8200</v>
      </c>
      <c r="D20" s="109"/>
      <c r="E20" s="114">
        <f>Feuil1!E20*Feuil1!C20</f>
        <v>1640</v>
      </c>
      <c r="F20" s="81"/>
      <c r="G20" s="81"/>
      <c r="H20" s="81"/>
      <c r="I20" s="117">
        <f>Feuil1!I20*Feuil1!C20</f>
        <v>2460</v>
      </c>
      <c r="J20" s="122">
        <f>Feuil1!J20*Feuil1!C20</f>
        <v>4100</v>
      </c>
      <c r="K20" s="133">
        <f>Feuil1!K20</f>
        <v>8200</v>
      </c>
      <c r="L20" s="123" t="str">
        <f t="shared" si="0"/>
        <v>Juste</v>
      </c>
    </row>
    <row r="21" spans="2:12" ht="18" customHeight="1" x14ac:dyDescent="0.2">
      <c r="B21" s="20" t="s">
        <v>8</v>
      </c>
      <c r="C21" s="85">
        <f>Feuil1!C21</f>
        <v>36000</v>
      </c>
      <c r="D21" s="109">
        <f>Feuil1!D21*Feuil1!C21</f>
        <v>1800</v>
      </c>
      <c r="E21" s="114">
        <f>Feuil1!E21*Feuil1!C21</f>
        <v>1800</v>
      </c>
      <c r="F21" s="81">
        <f>Feuil1!F21*Feuil1!C21</f>
        <v>9960</v>
      </c>
      <c r="G21" s="81">
        <f>Feuil1!G21*Feuil1!C21</f>
        <v>9960</v>
      </c>
      <c r="H21" s="81">
        <f>Feuil1!H21*Feuil1!C21</f>
        <v>9960</v>
      </c>
      <c r="I21" s="117">
        <f>Feuil1!I21*Feuil1!C21</f>
        <v>1800</v>
      </c>
      <c r="J21" s="122">
        <f>Feuil1!J21*Feuil1!C21</f>
        <v>720</v>
      </c>
      <c r="K21" s="133">
        <f>Feuil1!K21</f>
        <v>36000</v>
      </c>
      <c r="L21" s="123" t="str">
        <f t="shared" si="0"/>
        <v>Juste</v>
      </c>
    </row>
    <row r="22" spans="2:12" ht="18" customHeight="1" x14ac:dyDescent="0.2">
      <c r="B22" s="20" t="s">
        <v>15</v>
      </c>
      <c r="C22" s="85">
        <f>Feuil1!C22</f>
        <v>470000</v>
      </c>
      <c r="D22" s="109">
        <f>Feuil1!D22*Feuil1!C22</f>
        <v>42018</v>
      </c>
      <c r="E22" s="114">
        <f>Feuil1!E22*Feuil1!C22</f>
        <v>46012.999999999993</v>
      </c>
      <c r="F22" s="81">
        <f>Feuil1!F22*Feuil1!C22</f>
        <v>79994</v>
      </c>
      <c r="G22" s="81">
        <f>Feuil1!G22*Feuil1!C22</f>
        <v>90004.999999999985</v>
      </c>
      <c r="H22" s="81">
        <f>Feuil1!H22*Feuil1!C22</f>
        <v>94987</v>
      </c>
      <c r="I22" s="117">
        <f>Feuil1!I22*Feuil1!C22</f>
        <v>29985.999999999996</v>
      </c>
      <c r="J22" s="122">
        <f>Feuil1!J22*Feuil1!C22</f>
        <v>86997</v>
      </c>
      <c r="K22" s="133">
        <f>Feuil1!K22</f>
        <v>470000</v>
      </c>
      <c r="L22" s="123" t="str">
        <f t="shared" si="0"/>
        <v>Juste</v>
      </c>
    </row>
    <row r="23" spans="2:12" ht="18" customHeight="1" x14ac:dyDescent="0.2">
      <c r="B23" s="20" t="s">
        <v>9</v>
      </c>
      <c r="C23" s="85">
        <f>Feuil1!C23</f>
        <v>28600</v>
      </c>
      <c r="D23" s="109"/>
      <c r="E23" s="114">
        <f>Feuil1!E23*Feuil1!C23</f>
        <v>2860</v>
      </c>
      <c r="F23" s="81">
        <f>Feuil1!F23*Feuil1!C23</f>
        <v>3813.3333333333335</v>
      </c>
      <c r="G23" s="81">
        <f>Feuil1!G23*Feuil1!C23</f>
        <v>3813.3333333333335</v>
      </c>
      <c r="H23" s="81">
        <f>Feuil1!H23*Feuil1!C23</f>
        <v>3813.3333333333335</v>
      </c>
      <c r="I23" s="117"/>
      <c r="J23" s="122">
        <f>Feuil1!J23*Feuil1!C23</f>
        <v>14300</v>
      </c>
      <c r="K23" s="133">
        <f>Feuil1!K23</f>
        <v>28600</v>
      </c>
      <c r="L23" s="123" t="str">
        <f t="shared" si="0"/>
        <v>Juste</v>
      </c>
    </row>
    <row r="24" spans="2:12" ht="18" customHeight="1" x14ac:dyDescent="0.2">
      <c r="B24" s="20" t="s">
        <v>10</v>
      </c>
      <c r="C24" s="85">
        <f>Feuil1!C24</f>
        <v>24000</v>
      </c>
      <c r="D24" s="109"/>
      <c r="E24" s="114"/>
      <c r="F24" s="81"/>
      <c r="G24" s="81"/>
      <c r="H24" s="81"/>
      <c r="I24" s="117"/>
      <c r="J24" s="122">
        <f>Feuil1!J24*Feuil1!C24</f>
        <v>24000</v>
      </c>
      <c r="K24" s="134">
        <f>Feuil1!K24</f>
        <v>24000</v>
      </c>
      <c r="L24" s="124" t="str">
        <f t="shared" si="0"/>
        <v>Juste</v>
      </c>
    </row>
    <row r="25" spans="2:12" ht="18" customHeight="1" x14ac:dyDescent="0.2">
      <c r="B25" s="36" t="s">
        <v>30</v>
      </c>
      <c r="C25" s="86">
        <f>Feuil1!C25</f>
        <v>782600</v>
      </c>
      <c r="D25" s="110">
        <f>Feuil1!D25</f>
        <v>91368</v>
      </c>
      <c r="E25" s="101">
        <f>Feuil1!E25</f>
        <v>91041.44</v>
      </c>
      <c r="F25" s="135">
        <f>Feuil1!F25</f>
        <v>105309.59999999999</v>
      </c>
      <c r="G25" s="136">
        <f>Feuil1!G25</f>
        <v>137881</v>
      </c>
      <c r="H25" s="136">
        <f>Feuil1!H25</f>
        <v>123215.4</v>
      </c>
      <c r="I25" s="102">
        <f>Feuil1!I25</f>
        <v>82768.319999999992</v>
      </c>
      <c r="J25" s="110">
        <f>Feuil1!J25</f>
        <v>151016.24</v>
      </c>
      <c r="K25" s="134">
        <f>Feuil1!K25</f>
        <v>782599.99999999988</v>
      </c>
      <c r="L25" s="124" t="str">
        <f t="shared" si="0"/>
        <v>Juste</v>
      </c>
    </row>
    <row r="26" spans="2:12" ht="18" customHeight="1" x14ac:dyDescent="0.2">
      <c r="B26" s="46" t="s">
        <v>16</v>
      </c>
      <c r="C26" s="80"/>
      <c r="D26" s="111"/>
      <c r="E26" s="105"/>
      <c r="F26" s="100"/>
      <c r="G26" s="100"/>
      <c r="H26" s="100"/>
      <c r="I26" s="100"/>
      <c r="J26" s="113"/>
    </row>
    <row r="27" spans="2:12" ht="18" customHeight="1" x14ac:dyDescent="0.2">
      <c r="B27" s="87" t="s">
        <v>0</v>
      </c>
      <c r="C27" s="88"/>
      <c r="D27" s="112"/>
      <c r="E27" s="106"/>
      <c r="F27" s="89"/>
      <c r="G27" s="89"/>
      <c r="H27" s="89"/>
      <c r="I27" s="89"/>
      <c r="J27" s="112"/>
    </row>
    <row r="28" spans="2:12" ht="18" customHeight="1" x14ac:dyDescent="0.2">
      <c r="B28" s="50" t="s">
        <v>1</v>
      </c>
      <c r="C28" s="51"/>
      <c r="D28" s="52"/>
      <c r="E28" s="97"/>
      <c r="F28" s="90"/>
      <c r="G28" s="90"/>
      <c r="H28" s="90"/>
      <c r="I28" s="91"/>
      <c r="J28" s="92"/>
    </row>
    <row r="29" spans="2:12" ht="18" customHeight="1" x14ac:dyDescent="0.2">
      <c r="B29" s="40" t="s">
        <v>17</v>
      </c>
      <c r="C29" s="41"/>
      <c r="D29" s="42"/>
      <c r="E29" s="98"/>
      <c r="F29" s="83"/>
      <c r="G29" s="83"/>
      <c r="H29" s="83"/>
      <c r="I29" s="82"/>
      <c r="J29" s="93"/>
    </row>
    <row r="30" spans="2:12" ht="18" customHeight="1" x14ac:dyDescent="0.2">
      <c r="B30" s="43" t="s">
        <v>31</v>
      </c>
      <c r="C30" s="44"/>
      <c r="D30" s="45"/>
      <c r="E30" s="99"/>
      <c r="F30" s="94"/>
      <c r="G30" s="94"/>
      <c r="H30" s="94"/>
      <c r="I30" s="95"/>
      <c r="J30" s="96"/>
    </row>
    <row r="31" spans="2:12" x14ac:dyDescent="0.2">
      <c r="D31" s="35"/>
      <c r="E31" s="35"/>
      <c r="F31" s="35"/>
      <c r="G31" s="35"/>
      <c r="H31" s="35"/>
      <c r="I31" s="35"/>
      <c r="J31" s="35"/>
    </row>
  </sheetData>
  <mergeCells count="10">
    <mergeCell ref="K5:L5"/>
    <mergeCell ref="D2:J2"/>
    <mergeCell ref="J3:J4"/>
    <mergeCell ref="B29:D29"/>
    <mergeCell ref="B30:D30"/>
    <mergeCell ref="B26:C26"/>
    <mergeCell ref="B27:C27"/>
    <mergeCell ref="B28:D28"/>
    <mergeCell ref="D3:I3"/>
    <mergeCell ref="E4:I4"/>
  </mergeCells>
  <phoneticPr fontId="0" type="noConversion"/>
  <conditionalFormatting sqref="L6:L25">
    <cfRule type="containsText" dxfId="0" priority="1" operator="containsText" text="Juste">
      <formula>NOT(ISERROR(SEARCH("Juste",L6)))</formula>
    </cfRule>
  </conditionalFormatting>
  <pageMargins left="0.46" right="0.15" top="0.59" bottom="0.19" header="0.13" footer="0.13"/>
  <pageSetup paperSize="9" orientation="landscape" horizontalDpi="300" verticalDpi="300" r:id="rId1"/>
  <headerFooter alignWithMargins="0">
    <oddHeader>&amp;C&amp;"Arial,Gras"&amp;11Entreprise Confection Pro&amp;"Arial,Normal"
Répartition des charges indirectes aux centres d'analyse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E7F3B-1D9F-45DF-BB8A-982DF9728C39}">
  <sheetPr codeName="Feuil2"/>
  <dimension ref="B1:L31"/>
  <sheetViews>
    <sheetView topLeftCell="A10" zoomScale="90" zoomScaleNormal="90" workbookViewId="0">
      <selection activeCell="M26" sqref="M26"/>
    </sheetView>
  </sheetViews>
  <sheetFormatPr baseColWidth="10" defaultRowHeight="12.75" x14ac:dyDescent="0.2"/>
  <cols>
    <col min="1" max="1" width="2.7109375" style="15" customWidth="1"/>
    <col min="2" max="2" width="42.140625" style="15" customWidth="1"/>
    <col min="3" max="3" width="11.7109375" style="34" customWidth="1"/>
    <col min="4" max="4" width="10.42578125" style="15" customWidth="1"/>
    <col min="5" max="8" width="10.85546875" style="15" customWidth="1"/>
    <col min="9" max="10" width="11.85546875" style="15" customWidth="1"/>
    <col min="11" max="11" width="16.42578125" style="15" customWidth="1"/>
    <col min="12" max="16384" width="11.42578125" style="15"/>
  </cols>
  <sheetData>
    <row r="1" spans="2:12" x14ac:dyDescent="0.2">
      <c r="B1" s="32"/>
      <c r="C1" s="33"/>
      <c r="D1" s="32"/>
      <c r="E1" s="32"/>
      <c r="F1" s="32"/>
      <c r="G1" s="32"/>
      <c r="H1" s="32"/>
      <c r="I1" s="32"/>
      <c r="J1" s="32"/>
    </row>
    <row r="2" spans="2:12" ht="24" customHeight="1" x14ac:dyDescent="0.2">
      <c r="D2" s="37" t="s">
        <v>20</v>
      </c>
      <c r="E2" s="37"/>
      <c r="F2" s="37"/>
      <c r="G2" s="37"/>
      <c r="H2" s="37"/>
      <c r="I2" s="37"/>
      <c r="J2" s="37"/>
    </row>
    <row r="3" spans="2:12" ht="25.5" customHeight="1" x14ac:dyDescent="0.2">
      <c r="D3" s="53" t="s">
        <v>21</v>
      </c>
      <c r="E3" s="53"/>
      <c r="F3" s="53"/>
      <c r="G3" s="53"/>
      <c r="H3" s="53"/>
      <c r="I3" s="53"/>
      <c r="J3" s="38" t="s">
        <v>22</v>
      </c>
    </row>
    <row r="4" spans="2:12" ht="27" customHeight="1" x14ac:dyDescent="0.2">
      <c r="D4" s="1" t="s">
        <v>23</v>
      </c>
      <c r="E4" s="54" t="s">
        <v>24</v>
      </c>
      <c r="F4" s="55"/>
      <c r="G4" s="55"/>
      <c r="H4" s="55"/>
      <c r="I4" s="56"/>
      <c r="J4" s="39"/>
    </row>
    <row r="5" spans="2:12" s="13" customFormat="1" ht="25.5" customHeight="1" x14ac:dyDescent="0.2">
      <c r="B5" s="2" t="s">
        <v>11</v>
      </c>
      <c r="C5" s="3" t="s">
        <v>12</v>
      </c>
      <c r="D5" s="2" t="s">
        <v>32</v>
      </c>
      <c r="E5" s="10" t="s">
        <v>33</v>
      </c>
      <c r="F5" s="11" t="s">
        <v>34</v>
      </c>
      <c r="G5" s="11" t="s">
        <v>35</v>
      </c>
      <c r="H5" s="11" t="s">
        <v>36</v>
      </c>
      <c r="I5" s="12" t="s">
        <v>37</v>
      </c>
      <c r="J5" s="118" t="s">
        <v>38</v>
      </c>
      <c r="K5" s="130" t="s">
        <v>39</v>
      </c>
      <c r="L5" s="131"/>
    </row>
    <row r="6" spans="2:12" ht="18" customHeight="1" x14ac:dyDescent="0.2">
      <c r="B6" s="18" t="s">
        <v>2</v>
      </c>
      <c r="C6" s="19">
        <v>15000</v>
      </c>
      <c r="D6" s="60">
        <f>10%</f>
        <v>0.1</v>
      </c>
      <c r="E6" s="61">
        <f>10%</f>
        <v>0.1</v>
      </c>
      <c r="F6" s="62">
        <f>65%/3</f>
        <v>0.21666666666666667</v>
      </c>
      <c r="G6" s="62">
        <f t="shared" ref="G6:H6" si="0">65%/3</f>
        <v>0.21666666666666667</v>
      </c>
      <c r="H6" s="62">
        <f t="shared" si="0"/>
        <v>0.21666666666666667</v>
      </c>
      <c r="I6" s="63">
        <f>5%</f>
        <v>0.05</v>
      </c>
      <c r="J6" s="127">
        <f>10%</f>
        <v>0.1</v>
      </c>
      <c r="K6" s="132">
        <f>SUM(linePro!D6:J6)</f>
        <v>15000</v>
      </c>
      <c r="L6" s="123"/>
    </row>
    <row r="7" spans="2:12" ht="18" customHeight="1" x14ac:dyDescent="0.2">
      <c r="B7" s="20" t="s">
        <v>25</v>
      </c>
      <c r="C7" s="21">
        <v>31200</v>
      </c>
      <c r="D7" s="58"/>
      <c r="E7" s="59"/>
      <c r="F7" s="57">
        <f>4000/31200*100%</f>
        <v>0.12820512820512819</v>
      </c>
      <c r="G7" s="57">
        <f>21200/31200*100%</f>
        <v>0.67948717948717952</v>
      </c>
      <c r="H7" s="57">
        <f>6000/31200*100%</f>
        <v>0.19230769230769232</v>
      </c>
      <c r="I7" s="64"/>
      <c r="J7" s="128"/>
      <c r="K7" s="132">
        <f>SUM(linePro!D7:J7)</f>
        <v>31200</v>
      </c>
      <c r="L7" s="123"/>
    </row>
    <row r="8" spans="2:12" ht="18" customHeight="1" x14ac:dyDescent="0.2">
      <c r="B8" s="20" t="s">
        <v>13</v>
      </c>
      <c r="C8" s="21">
        <v>18600</v>
      </c>
      <c r="D8" s="58"/>
      <c r="E8" s="59">
        <f>65%</f>
        <v>0.65</v>
      </c>
      <c r="F8" s="57"/>
      <c r="G8" s="57"/>
      <c r="H8" s="57"/>
      <c r="I8" s="64">
        <f>35%</f>
        <v>0.35</v>
      </c>
      <c r="J8" s="128"/>
      <c r="K8" s="132">
        <f>SUM(linePro!D8:J8)</f>
        <v>18600</v>
      </c>
      <c r="L8" s="123"/>
    </row>
    <row r="9" spans="2:12" ht="18" customHeight="1" x14ac:dyDescent="0.2">
      <c r="B9" s="20" t="s">
        <v>26</v>
      </c>
      <c r="C9" s="21">
        <v>4400</v>
      </c>
      <c r="D9" s="58"/>
      <c r="E9" s="59"/>
      <c r="F9" s="57"/>
      <c r="G9" s="57"/>
      <c r="H9" s="57"/>
      <c r="I9" s="64">
        <f>100%</f>
        <v>1</v>
      </c>
      <c r="J9" s="128"/>
      <c r="K9" s="132">
        <f>SUM(linePro!D9:J9)</f>
        <v>4400</v>
      </c>
      <c r="L9" s="123"/>
    </row>
    <row r="10" spans="2:12" ht="18" customHeight="1" x14ac:dyDescent="0.2">
      <c r="B10" s="20" t="s">
        <v>19</v>
      </c>
      <c r="C10" s="21">
        <v>4000</v>
      </c>
      <c r="D10" s="58"/>
      <c r="E10" s="59">
        <f>5%</f>
        <v>0.05</v>
      </c>
      <c r="F10" s="57"/>
      <c r="G10" s="57"/>
      <c r="H10" s="57"/>
      <c r="I10" s="64">
        <f>15%</f>
        <v>0.15</v>
      </c>
      <c r="J10" s="128">
        <f>80%</f>
        <v>0.8</v>
      </c>
      <c r="K10" s="132">
        <f>SUM(linePro!D10:J10)</f>
        <v>4000</v>
      </c>
      <c r="L10" s="123"/>
    </row>
    <row r="11" spans="2:12" ht="18" customHeight="1" x14ac:dyDescent="0.2">
      <c r="B11" s="20" t="s">
        <v>18</v>
      </c>
      <c r="C11" s="21">
        <v>13100</v>
      </c>
      <c r="D11" s="58">
        <f>1250/13100*100%</f>
        <v>9.5419847328244281E-2</v>
      </c>
      <c r="E11" s="59">
        <f>900/13100*100%</f>
        <v>6.8702290076335881E-2</v>
      </c>
      <c r="F11" s="57">
        <f>2400/13100*100%</f>
        <v>0.18320610687022901</v>
      </c>
      <c r="G11" s="57">
        <f>3350/13100*100%</f>
        <v>0.25572519083969464</v>
      </c>
      <c r="H11" s="57">
        <f>2800/13100*100%</f>
        <v>0.21374045801526717</v>
      </c>
      <c r="I11" s="64">
        <f>900/13100*100%</f>
        <v>6.8702290076335881E-2</v>
      </c>
      <c r="J11" s="128">
        <f>1500/13100*100%</f>
        <v>0.11450381679389313</v>
      </c>
      <c r="K11" s="132">
        <f>SUM(linePro!D11:J11)</f>
        <v>13100</v>
      </c>
      <c r="L11" s="123"/>
    </row>
    <row r="12" spans="2:12" ht="18" customHeight="1" x14ac:dyDescent="0.2">
      <c r="B12" s="20" t="s">
        <v>3</v>
      </c>
      <c r="C12" s="21">
        <v>2900</v>
      </c>
      <c r="D12" s="73"/>
      <c r="E12" s="74"/>
      <c r="F12" s="75"/>
      <c r="G12" s="75"/>
      <c r="H12" s="75"/>
      <c r="I12" s="76"/>
      <c r="J12" s="129">
        <f>100%</f>
        <v>1</v>
      </c>
      <c r="K12" s="132">
        <f>SUM(linePro!D12:J12)</f>
        <v>2900</v>
      </c>
      <c r="L12" s="123"/>
    </row>
    <row r="13" spans="2:12" ht="18" customHeight="1" x14ac:dyDescent="0.2">
      <c r="B13" s="20" t="s">
        <v>4</v>
      </c>
      <c r="C13" s="21">
        <v>44400</v>
      </c>
      <c r="D13" s="73">
        <f>100%</f>
        <v>1</v>
      </c>
      <c r="E13" s="74"/>
      <c r="F13" s="75"/>
      <c r="G13" s="75"/>
      <c r="H13" s="75"/>
      <c r="I13" s="76"/>
      <c r="J13" s="129"/>
      <c r="K13" s="132">
        <f>SUM(linePro!D13:J13)</f>
        <v>44400</v>
      </c>
      <c r="L13" s="123"/>
    </row>
    <row r="14" spans="2:12" ht="18" customHeight="1" x14ac:dyDescent="0.2">
      <c r="B14" s="20" t="s">
        <v>27</v>
      </c>
      <c r="C14" s="21">
        <v>5600</v>
      </c>
      <c r="D14" s="73"/>
      <c r="E14" s="74">
        <f>65%</f>
        <v>0.65</v>
      </c>
      <c r="F14" s="75"/>
      <c r="G14" s="75"/>
      <c r="H14" s="75"/>
      <c r="I14" s="76">
        <f>35%</f>
        <v>0.35</v>
      </c>
      <c r="J14" s="129"/>
      <c r="K14" s="132">
        <f>SUM(linePro!D14:J14)</f>
        <v>5600</v>
      </c>
      <c r="L14" s="123"/>
    </row>
    <row r="15" spans="2:12" ht="18" customHeight="1" x14ac:dyDescent="0.2">
      <c r="B15" s="20" t="s">
        <v>28</v>
      </c>
      <c r="C15" s="21">
        <v>8000</v>
      </c>
      <c r="D15" s="73"/>
      <c r="E15" s="74"/>
      <c r="F15" s="75">
        <f>12.82%</f>
        <v>0.12820000000000001</v>
      </c>
      <c r="G15" s="75">
        <f>67.95%</f>
        <v>0.67949999999999999</v>
      </c>
      <c r="H15" s="75">
        <f>19.23%</f>
        <v>0.1923</v>
      </c>
      <c r="I15" s="76"/>
      <c r="J15" s="129"/>
      <c r="K15" s="132">
        <f>SUM(linePro!D15:J15)</f>
        <v>8000</v>
      </c>
      <c r="L15" s="123"/>
    </row>
    <row r="16" spans="2:12" ht="18" customHeight="1" x14ac:dyDescent="0.2">
      <c r="B16" s="20" t="s">
        <v>14</v>
      </c>
      <c r="C16" s="21">
        <v>4000</v>
      </c>
      <c r="D16" s="73">
        <f>10%</f>
        <v>0.1</v>
      </c>
      <c r="E16" s="74">
        <f>10%</f>
        <v>0.1</v>
      </c>
      <c r="F16" s="75">
        <f>65%/3</f>
        <v>0.21666666666666667</v>
      </c>
      <c r="G16" s="75">
        <f t="shared" ref="G16:H17" si="1">65%/3</f>
        <v>0.21666666666666667</v>
      </c>
      <c r="H16" s="75">
        <f t="shared" si="1"/>
        <v>0.21666666666666667</v>
      </c>
      <c r="I16" s="76">
        <f>5%</f>
        <v>0.05</v>
      </c>
      <c r="J16" s="129">
        <f>10%</f>
        <v>0.1</v>
      </c>
      <c r="K16" s="132">
        <f>SUM(linePro!D16:J16)</f>
        <v>4000</v>
      </c>
      <c r="L16" s="123"/>
    </row>
    <row r="17" spans="2:12" ht="18" customHeight="1" x14ac:dyDescent="0.2">
      <c r="B17" s="20" t="s">
        <v>29</v>
      </c>
      <c r="C17" s="21">
        <v>1200</v>
      </c>
      <c r="D17" s="73"/>
      <c r="E17" s="74"/>
      <c r="F17" s="75"/>
      <c r="G17" s="75"/>
      <c r="H17" s="75"/>
      <c r="I17" s="76">
        <f>100%</f>
        <v>1</v>
      </c>
      <c r="J17" s="129"/>
      <c r="K17" s="132">
        <f>SUM(linePro!D17:J17)</f>
        <v>1200</v>
      </c>
      <c r="L17" s="123"/>
    </row>
    <row r="18" spans="2:12" ht="18" customHeight="1" x14ac:dyDescent="0.2">
      <c r="B18" s="20" t="s">
        <v>5</v>
      </c>
      <c r="C18" s="21">
        <v>3200</v>
      </c>
      <c r="D18" s="73"/>
      <c r="E18" s="74"/>
      <c r="F18" s="75"/>
      <c r="G18" s="75"/>
      <c r="H18" s="75"/>
      <c r="I18" s="76"/>
      <c r="J18" s="129">
        <f>100%</f>
        <v>1</v>
      </c>
      <c r="K18" s="132">
        <f>SUM(linePro!D18:J18)</f>
        <v>3200</v>
      </c>
      <c r="L18" s="123"/>
    </row>
    <row r="19" spans="2:12" ht="18" customHeight="1" x14ac:dyDescent="0.2">
      <c r="B19" s="20" t="s">
        <v>6</v>
      </c>
      <c r="C19" s="21">
        <v>60200</v>
      </c>
      <c r="D19" s="73"/>
      <c r="E19" s="74">
        <f>33.22%</f>
        <v>0.3322</v>
      </c>
      <c r="F19" s="75"/>
      <c r="G19" s="75"/>
      <c r="H19" s="75"/>
      <c r="I19" s="76">
        <f>53.16%</f>
        <v>0.53159999999999996</v>
      </c>
      <c r="J19" s="129">
        <f>13.62%</f>
        <v>0.13619999999999999</v>
      </c>
      <c r="K19" s="132">
        <f>SUM(linePro!D19:J19)</f>
        <v>60199.999999999993</v>
      </c>
      <c r="L19" s="123"/>
    </row>
    <row r="20" spans="2:12" ht="18" customHeight="1" x14ac:dyDescent="0.2">
      <c r="B20" s="20" t="s">
        <v>7</v>
      </c>
      <c r="C20" s="21">
        <v>8200</v>
      </c>
      <c r="D20" s="73"/>
      <c r="E20" s="74">
        <f>20%</f>
        <v>0.2</v>
      </c>
      <c r="F20" s="75"/>
      <c r="G20" s="75"/>
      <c r="H20" s="75"/>
      <c r="I20" s="76">
        <f>30%</f>
        <v>0.3</v>
      </c>
      <c r="J20" s="129">
        <f>50%</f>
        <v>0.5</v>
      </c>
      <c r="K20" s="132">
        <f>SUM(linePro!D20:J20)</f>
        <v>8200</v>
      </c>
      <c r="L20" s="123"/>
    </row>
    <row r="21" spans="2:12" ht="18" customHeight="1" x14ac:dyDescent="0.2">
      <c r="B21" s="20" t="s">
        <v>8</v>
      </c>
      <c r="C21" s="21">
        <v>36000</v>
      </c>
      <c r="D21" s="73">
        <f>5%</f>
        <v>0.05</v>
      </c>
      <c r="E21" s="74">
        <f>5%</f>
        <v>0.05</v>
      </c>
      <c r="F21" s="75">
        <f>83%/3</f>
        <v>0.27666666666666667</v>
      </c>
      <c r="G21" s="75">
        <f t="shared" ref="G21:H21" si="2">83%/3</f>
        <v>0.27666666666666667</v>
      </c>
      <c r="H21" s="75">
        <f t="shared" si="2"/>
        <v>0.27666666666666667</v>
      </c>
      <c r="I21" s="76">
        <f>5%</f>
        <v>0.05</v>
      </c>
      <c r="J21" s="129">
        <f>2%</f>
        <v>0.02</v>
      </c>
      <c r="K21" s="132">
        <f>SUM(linePro!D21:J21)</f>
        <v>36000</v>
      </c>
      <c r="L21" s="123"/>
    </row>
    <row r="22" spans="2:12" ht="18" customHeight="1" x14ac:dyDescent="0.2">
      <c r="B22" s="20" t="s">
        <v>15</v>
      </c>
      <c r="C22" s="21">
        <v>470000</v>
      </c>
      <c r="D22" s="73">
        <f>8.94%</f>
        <v>8.9399999999999993E-2</v>
      </c>
      <c r="E22" s="74">
        <f>9.79%</f>
        <v>9.7899999999999987E-2</v>
      </c>
      <c r="F22" s="75">
        <f>17.02%</f>
        <v>0.17019999999999999</v>
      </c>
      <c r="G22" s="75">
        <f>19.15%</f>
        <v>0.19149999999999998</v>
      </c>
      <c r="H22" s="75">
        <f>20.21%</f>
        <v>0.2021</v>
      </c>
      <c r="I22" s="76">
        <f>6.38%</f>
        <v>6.3799999999999996E-2</v>
      </c>
      <c r="J22" s="129">
        <f>18.51%</f>
        <v>0.18510000000000001</v>
      </c>
      <c r="K22" s="132">
        <f>SUM(linePro!D22:J22)</f>
        <v>470000</v>
      </c>
      <c r="L22" s="123"/>
    </row>
    <row r="23" spans="2:12" ht="18" customHeight="1" x14ac:dyDescent="0.2">
      <c r="B23" s="20" t="s">
        <v>9</v>
      </c>
      <c r="C23" s="21">
        <v>28600</v>
      </c>
      <c r="D23" s="73"/>
      <c r="E23" s="74">
        <f>10%</f>
        <v>0.1</v>
      </c>
      <c r="F23" s="75">
        <f>40%/3</f>
        <v>0.13333333333333333</v>
      </c>
      <c r="G23" s="75">
        <f t="shared" ref="G23:H23" si="3">40%/3</f>
        <v>0.13333333333333333</v>
      </c>
      <c r="H23" s="75">
        <f t="shared" si="3"/>
        <v>0.13333333333333333</v>
      </c>
      <c r="I23" s="76"/>
      <c r="J23" s="129">
        <f>50%</f>
        <v>0.5</v>
      </c>
      <c r="K23" s="132">
        <f>SUM(linePro!D23:J23)</f>
        <v>28600</v>
      </c>
      <c r="L23" s="123"/>
    </row>
    <row r="24" spans="2:12" ht="18" customHeight="1" x14ac:dyDescent="0.2">
      <c r="B24" s="20" t="s">
        <v>10</v>
      </c>
      <c r="C24" s="21">
        <v>24000</v>
      </c>
      <c r="D24" s="73"/>
      <c r="E24" s="74"/>
      <c r="F24" s="75"/>
      <c r="G24" s="75"/>
      <c r="H24" s="75"/>
      <c r="I24" s="76"/>
      <c r="J24" s="129">
        <f>100%</f>
        <v>1</v>
      </c>
      <c r="K24" s="132">
        <f>SUM(linePro!D24:J24)</f>
        <v>24000</v>
      </c>
      <c r="L24" s="124"/>
    </row>
    <row r="25" spans="2:12" ht="18" customHeight="1" x14ac:dyDescent="0.2">
      <c r="B25" s="36" t="s">
        <v>30</v>
      </c>
      <c r="C25" s="14">
        <v>782600</v>
      </c>
      <c r="D25" s="77">
        <f>SUM(linePro!D6:D24)</f>
        <v>91368</v>
      </c>
      <c r="E25" s="77">
        <f>SUM(linePro!E6:E24)</f>
        <v>91041.44</v>
      </c>
      <c r="F25" s="77">
        <f>SUM(linePro!F6:F24)</f>
        <v>105309.59999999999</v>
      </c>
      <c r="G25" s="77">
        <f>SUM(linePro!G6:G24)</f>
        <v>137881</v>
      </c>
      <c r="H25" s="77">
        <f>SUM(linePro!H6:H24)</f>
        <v>123215.4</v>
      </c>
      <c r="I25" s="77">
        <f>SUM(linePro!I6:I24)</f>
        <v>82768.319999999992</v>
      </c>
      <c r="J25" s="77">
        <f>SUM(linePro!J6:J24)</f>
        <v>151016.24</v>
      </c>
      <c r="K25" s="132">
        <f>SUM(linePro!D25:J25)</f>
        <v>782599.99999999988</v>
      </c>
      <c r="L25" s="124"/>
    </row>
    <row r="26" spans="2:12" ht="18" customHeight="1" x14ac:dyDescent="0.2">
      <c r="B26" s="46" t="s">
        <v>16</v>
      </c>
      <c r="C26" s="47"/>
      <c r="D26" s="65"/>
      <c r="E26" s="66"/>
      <c r="F26" s="67"/>
      <c r="G26" s="67"/>
      <c r="H26" s="67"/>
      <c r="I26" s="68"/>
      <c r="J26" s="65"/>
    </row>
    <row r="27" spans="2:12" ht="18" customHeight="1" x14ac:dyDescent="0.2">
      <c r="B27" s="48" t="s">
        <v>0</v>
      </c>
      <c r="C27" s="49"/>
      <c r="D27" s="69"/>
      <c r="E27" s="70"/>
      <c r="F27" s="71"/>
      <c r="G27" s="71"/>
      <c r="H27" s="71"/>
      <c r="I27" s="72"/>
      <c r="J27" s="69"/>
    </row>
    <row r="28" spans="2:12" ht="18" customHeight="1" x14ac:dyDescent="0.2">
      <c r="B28" s="50" t="s">
        <v>1</v>
      </c>
      <c r="C28" s="51"/>
      <c r="D28" s="52"/>
      <c r="E28" s="16"/>
      <c r="F28" s="4"/>
      <c r="G28" s="5"/>
      <c r="H28" s="6"/>
      <c r="I28" s="22"/>
      <c r="J28" s="23"/>
    </row>
    <row r="29" spans="2:12" ht="18" customHeight="1" x14ac:dyDescent="0.2">
      <c r="B29" s="40" t="s">
        <v>17</v>
      </c>
      <c r="C29" s="41"/>
      <c r="D29" s="42"/>
      <c r="E29" s="24"/>
      <c r="F29" s="25"/>
      <c r="G29" s="26"/>
      <c r="H29" s="27"/>
      <c r="I29" s="28"/>
      <c r="J29" s="29"/>
    </row>
    <row r="30" spans="2:12" ht="18" customHeight="1" x14ac:dyDescent="0.2">
      <c r="B30" s="43" t="s">
        <v>31</v>
      </c>
      <c r="C30" s="44"/>
      <c r="D30" s="45"/>
      <c r="E30" s="17"/>
      <c r="F30" s="7"/>
      <c r="G30" s="8"/>
      <c r="H30" s="9"/>
      <c r="I30" s="30"/>
      <c r="J30" s="31"/>
    </row>
    <row r="31" spans="2:12" x14ac:dyDescent="0.2">
      <c r="D31" s="35"/>
      <c r="E31" s="35"/>
      <c r="F31" s="35"/>
      <c r="G31" s="35"/>
      <c r="H31" s="35"/>
      <c r="I31" s="35"/>
      <c r="J31" s="35"/>
    </row>
  </sheetData>
  <mergeCells count="10">
    <mergeCell ref="B28:D28"/>
    <mergeCell ref="B29:D29"/>
    <mergeCell ref="B30:D30"/>
    <mergeCell ref="K5:L5"/>
    <mergeCell ref="D2:J2"/>
    <mergeCell ref="D3:I3"/>
    <mergeCell ref="J3:J4"/>
    <mergeCell ref="E4:I4"/>
    <mergeCell ref="B26:C26"/>
    <mergeCell ref="B27:C2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6A93280810A640AA0B724ECDD00026" ma:contentTypeVersion="0" ma:contentTypeDescription="Crée un document." ma:contentTypeScope="" ma:versionID="2d06c80066d8c2d5cfd7d6fb92be595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F633A7-1F47-475D-BA62-758C80AE284A}">
  <ds:schemaRefs>
    <ds:schemaRef ds:uri="http://schemas.microsoft.com/office/2006/documentManagement/types"/>
    <ds:schemaRef ds:uri="http://purl.org/dc/dcmitype/"/>
    <ds:schemaRef ds:uri="http://www.w3.org/XML/1998/namespace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FADA20E6-3E7B-4292-BF73-45009280F0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FF8B91-B225-4968-99BD-9A8E2AA950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linePro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Emma</cp:lastModifiedBy>
  <cp:lastPrinted>2015-04-22T14:00:45Z</cp:lastPrinted>
  <dcterms:created xsi:type="dcterms:W3CDTF">2009-09-10T08:45:03Z</dcterms:created>
  <dcterms:modified xsi:type="dcterms:W3CDTF">2018-10-28T14:46:32Z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0x010100846A93280810A640AA0B724ECDD00026</vt:lpwstr>
  </property>
</Properties>
</file>