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drawings/drawing3.xml" ContentType="application/vnd.openxmlformats-officedocument.drawing+xml"/>
  <Override PartName="/xl/tables/table3.xml" ContentType="application/vnd.openxmlformats-officedocument.spreadsheetml.table+xml"/>
  <Override PartName="/xl/drawings/drawing4.xml" ContentType="application/vnd.openxmlformats-officedocument.drawing+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drawings/drawing6.xml" ContentType="application/vnd.openxmlformats-officedocument.drawing+xml"/>
  <Override PartName="/xl/tables/table6.xml" ContentType="application/vnd.openxmlformats-officedocument.spreadsheetml.table+xml"/>
  <Override PartName="/xl/drawings/drawing7.xml" ContentType="application/vnd.openxmlformats-officedocument.drawing+xml"/>
  <Override PartName="/xl/tables/table7.xml" ContentType="application/vnd.openxmlformats-officedocument.spreadsheetml.table+xml"/>
  <Override PartName="/xl/drawings/drawing8.xml" ContentType="application/vnd.openxmlformats-officedocument.drawing+xml"/>
  <Override PartName="/xl/tables/table8.xml" ContentType="application/vnd.openxmlformats-officedocument.spreadsheetml.table+xml"/>
  <Override PartName="/xl/drawings/drawing9.xml" ContentType="application/vnd.openxmlformats-officedocument.drawing+xml"/>
  <Override PartName="/xl/tables/table9.xml" ContentType="application/vnd.openxmlformats-officedocument.spreadsheetml.table+xml"/>
  <Override PartName="/xl/drawings/drawing10.xml" ContentType="application/vnd.openxmlformats-officedocument.drawing+xml"/>
  <Override PartName="/xl/tables/table10.xml" ContentType="application/vnd.openxmlformats-officedocument.spreadsheetml.table+xml"/>
  <Override PartName="/xl/drawings/drawing11.xml" ContentType="application/vnd.openxmlformats-officedocument.drawing+xml"/>
  <Override PartName="/xl/tables/table11.xml" ContentType="application/vnd.openxmlformats-officedocument.spreadsheetml.table+xml"/>
  <Override PartName="/xl/drawings/drawing12.xml" ContentType="application/vnd.openxmlformats-officedocument.drawing+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codeName="{564CA151-5A5B-428A-3C10-775976492406}"/>
  <workbookPr codeName="ThisWorkbook"/>
  <mc:AlternateContent xmlns:mc="http://schemas.openxmlformats.org/markup-compatibility/2006">
    <mc:Choice Requires="x15">
      <x15ac:absPath xmlns:x15ac="http://schemas.microsoft.com/office/spreadsheetml/2010/11/ac" url="O:\01 Xchange\xx_Suivi des congés\"/>
    </mc:Choice>
  </mc:AlternateContent>
  <xr:revisionPtr revIDLastSave="0" documentId="13_ncr:1_{79491B0C-45D1-4151-9611-6CF6765375C0}" xr6:coauthVersionLast="45" xr6:coauthVersionMax="45" xr10:uidLastSave="{00000000-0000-0000-0000-000000000000}"/>
  <bookViews>
    <workbookView xWindow="-120" yWindow="-120" windowWidth="29040" windowHeight="15840" tabRatio="810" firstSheet="9" activeTab="9" xr2:uid="{00000000-000D-0000-FFFF-FFFF00000000}"/>
  </bookViews>
  <sheets>
    <sheet name="2020-Janvier" sheetId="4" state="hidden" r:id="rId1"/>
    <sheet name="2020-Février" sheetId="5" state="hidden" r:id="rId2"/>
    <sheet name="2020-Mars" sheetId="17" state="hidden" r:id="rId3"/>
    <sheet name="2020-Avril" sheetId="18" state="hidden" r:id="rId4"/>
    <sheet name="2020-Mai" sheetId="19" state="hidden" r:id="rId5"/>
    <sheet name="2020-Juin" sheetId="20" state="hidden" r:id="rId6"/>
    <sheet name="2020-Juillet" sheetId="21" state="hidden" r:id="rId7"/>
    <sheet name="2020-Août" sheetId="22" state="hidden" r:id="rId8"/>
    <sheet name="2020-Septembre" sheetId="23" state="hidden" r:id="rId9"/>
    <sheet name="2020-Octobre" sheetId="24" r:id="rId10"/>
    <sheet name="2020-Novembre" sheetId="25" r:id="rId11"/>
    <sheet name="2020-Décembre" sheetId="15" r:id="rId12"/>
    <sheet name="Noms des employés" sheetId="16" r:id="rId13"/>
    <sheet name="Log" sheetId="27" r:id="rId14"/>
  </sheets>
  <functionGroups builtInGroupCount="19"/>
  <definedNames>
    <definedName name="AnnéeCalendrier">'2020-Janvier'!$AH$4</definedName>
    <definedName name="CléCongé">'2020-Janvier'!$D$2</definedName>
    <definedName name="CléMaladie">'2020-Janvier'!$L$2</definedName>
    <definedName name="CléPersonnalisée1">'2020-Janvier'!$O$2</definedName>
    <definedName name="CléPersonnalisée2">'2020-Janvier'!#REF!</definedName>
    <definedName name="CléPersonnel">'2020-Janvier'!$H$2</definedName>
    <definedName name="ÉtiquetteCléCongé">'2020-Janvier'!$E$2</definedName>
    <definedName name="ÉtiquetteCléMaladie">'2020-Janvier'!$M$2</definedName>
    <definedName name="ÉtiquetteCléPersonnalisée1">'2020-Janvier'!#REF!</definedName>
    <definedName name="ÉtiquetteCléPersonnalisée2">'2020-Janvier'!#REF!</definedName>
    <definedName name="ÉtiquetteCléPersonnel">'2020-Janvier'!$I$2</definedName>
    <definedName name="_xlnm.Print_Titles" localSheetId="7">'2020-Août'!$4:$6</definedName>
    <definedName name="_xlnm.Print_Titles" localSheetId="3">'2020-Avril'!$4:$6</definedName>
    <definedName name="_xlnm.Print_Titles" localSheetId="11">'2020-Décembre'!$4:$6</definedName>
    <definedName name="_xlnm.Print_Titles" localSheetId="1">'2020-Février'!$4:$6</definedName>
    <definedName name="_xlnm.Print_Titles" localSheetId="0">'2020-Janvier'!$4:$6</definedName>
    <definedName name="_xlnm.Print_Titles" localSheetId="6">'2020-Juillet'!$4:$6</definedName>
    <definedName name="_xlnm.Print_Titles" localSheetId="5">'2020-Juin'!$4:$6</definedName>
    <definedName name="_xlnm.Print_Titles" localSheetId="4">'2020-Mai'!$4:$6</definedName>
    <definedName name="_xlnm.Print_Titles" localSheetId="2">'2020-Mars'!$4:$6</definedName>
    <definedName name="_xlnm.Print_Titles" localSheetId="10">'2020-Novembre'!$4:$6</definedName>
    <definedName name="_xlnm.Print_Titles" localSheetId="9">'2020-Octobre'!$4:$6</definedName>
    <definedName name="_xlnm.Print_Titles" localSheetId="8">'2020-Septembre'!$4:$6</definedName>
    <definedName name="Nom_clé">'2020-Janvier'!$B$2</definedName>
    <definedName name="NomMois" localSheetId="7">'2020-Août'!$B$4</definedName>
    <definedName name="NomMois" localSheetId="3">'2020-Avril'!$B$4</definedName>
    <definedName name="NomMois" localSheetId="11">'2020-Décembre'!$B$4</definedName>
    <definedName name="NomMois" localSheetId="1">'2020-Février'!$B$4</definedName>
    <definedName name="NomMois" localSheetId="0">'2020-Janvier'!$B$4</definedName>
    <definedName name="NomMois" localSheetId="6">'2020-Juillet'!$B$4</definedName>
    <definedName name="NomMois" localSheetId="5">'2020-Juin'!$B$4</definedName>
    <definedName name="NomMois" localSheetId="4">'2020-Mai'!$B$4</definedName>
    <definedName name="NomMois" localSheetId="2">'2020-Mars'!$B$4</definedName>
    <definedName name="NomMois" localSheetId="10">'2020-Novembre'!$B$4</definedName>
    <definedName name="NomMois" localSheetId="9">'2020-Octobre'!$B$4</definedName>
    <definedName name="NomMois" localSheetId="8">'2020-Septembre'!$B$4</definedName>
    <definedName name="Titre_Absence_Employé">'2020-Janvier'!$B$1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Y10" i="24" l="1"/>
  <c r="Z10" i="15" l="1"/>
  <c r="AA10" i="15"/>
  <c r="AC10" i="15"/>
  <c r="AB10" i="15"/>
  <c r="V10" i="15"/>
  <c r="U10" i="15"/>
  <c r="T10" i="15"/>
  <c r="O10" i="15"/>
  <c r="N10" i="15"/>
  <c r="M10" i="15"/>
  <c r="H10" i="15"/>
  <c r="G10" i="15"/>
  <c r="F10" i="15"/>
  <c r="AE10" i="25"/>
  <c r="AD10" i="25"/>
  <c r="AC10" i="25"/>
  <c r="X10" i="25"/>
  <c r="W10" i="25"/>
  <c r="V10" i="25"/>
  <c r="Q10" i="25"/>
  <c r="P10" i="25"/>
  <c r="O10" i="25"/>
  <c r="J10" i="25"/>
  <c r="H10" i="25"/>
  <c r="AF10" i="24"/>
  <c r="AA10" i="24"/>
  <c r="Z10" i="24"/>
  <c r="T10" i="24"/>
  <c r="S10" i="24"/>
  <c r="R10" i="24"/>
  <c r="M10" i="24"/>
  <c r="L10" i="24"/>
  <c r="K10" i="24"/>
  <c r="F10" i="24"/>
  <c r="D10" i="24"/>
  <c r="AH4" i="5" l="1"/>
  <c r="M10" i="25"/>
  <c r="C10" i="25"/>
  <c r="C10" i="20"/>
  <c r="W10" i="19"/>
  <c r="O10" i="18"/>
  <c r="C10" i="4"/>
  <c r="P10" i="21"/>
  <c r="C10" i="22"/>
  <c r="AG10" i="21"/>
  <c r="I10" i="25"/>
  <c r="AG10" i="24"/>
  <c r="E10" i="24"/>
  <c r="AE10" i="22"/>
  <c r="AD10" i="22"/>
  <c r="X10" i="22"/>
  <c r="W10" i="22"/>
  <c r="Q10" i="22"/>
  <c r="P10" i="22"/>
  <c r="J10" i="22"/>
  <c r="I10" i="22"/>
  <c r="AB10" i="23"/>
  <c r="AA10" i="23"/>
  <c r="U10" i="23"/>
  <c r="T10" i="23"/>
  <c r="N10" i="23"/>
  <c r="M10" i="23"/>
  <c r="G10" i="23"/>
  <c r="F10" i="23"/>
  <c r="AA10" i="21"/>
  <c r="Z10" i="21"/>
  <c r="T10" i="21"/>
  <c r="S10" i="21"/>
  <c r="M10" i="21"/>
  <c r="L10" i="21"/>
  <c r="F10" i="21"/>
  <c r="E10" i="21"/>
  <c r="AC10" i="20"/>
  <c r="AB10" i="20"/>
  <c r="V10" i="20"/>
  <c r="U10" i="20"/>
  <c r="O10" i="20"/>
  <c r="N10" i="20"/>
  <c r="H10" i="20"/>
  <c r="G10" i="20"/>
  <c r="AF10" i="19"/>
  <c r="AE10" i="19"/>
  <c r="Y10" i="19"/>
  <c r="X10" i="19"/>
  <c r="R10" i="19"/>
  <c r="Q10" i="19"/>
  <c r="K10" i="19"/>
  <c r="J10" i="19"/>
  <c r="D10" i="19"/>
  <c r="C10" i="19"/>
  <c r="AA10" i="18"/>
  <c r="Z10" i="18"/>
  <c r="T10" i="18"/>
  <c r="S10" i="18"/>
  <c r="M10" i="18"/>
  <c r="L10" i="18"/>
  <c r="F10" i="18"/>
  <c r="E10" i="18"/>
  <c r="AD10" i="17"/>
  <c r="AC10" i="17"/>
  <c r="W10" i="17"/>
  <c r="V10" i="17"/>
  <c r="P10" i="17"/>
  <c r="O10" i="17"/>
  <c r="I10" i="17"/>
  <c r="H10" i="17"/>
  <c r="AD10" i="5"/>
  <c r="AC10" i="5"/>
  <c r="W10" i="5"/>
  <c r="V10" i="5"/>
  <c r="P10" i="5"/>
  <c r="O10" i="5"/>
  <c r="I10" i="5"/>
  <c r="H10" i="5"/>
  <c r="AG10" i="4"/>
  <c r="AF10" i="4"/>
  <c r="Z10" i="4"/>
  <c r="Y10" i="4"/>
  <c r="S10" i="4"/>
  <c r="R10" i="4"/>
  <c r="L10" i="4"/>
  <c r="K10" i="4"/>
  <c r="C5" i="5"/>
  <c r="D5" i="5"/>
  <c r="E5" i="5"/>
  <c r="F5" i="5"/>
  <c r="G5" i="5"/>
  <c r="H5" i="5"/>
  <c r="I5" i="5"/>
  <c r="J5" i="5"/>
  <c r="K5" i="5"/>
  <c r="L5" i="5"/>
  <c r="M5" i="5"/>
  <c r="N5" i="5"/>
  <c r="O5" i="5"/>
  <c r="P5" i="5"/>
  <c r="Q5" i="5"/>
  <c r="R5" i="5"/>
  <c r="S5" i="5"/>
  <c r="T5" i="5"/>
  <c r="U5" i="5"/>
  <c r="V5" i="5"/>
  <c r="W5" i="5"/>
  <c r="X5" i="5"/>
  <c r="Y5" i="5"/>
  <c r="Z5" i="5"/>
  <c r="AA5" i="5"/>
  <c r="AB5" i="5"/>
  <c r="AC5" i="5"/>
  <c r="AD5" i="5"/>
  <c r="AE5" i="5"/>
  <c r="AH7" i="5"/>
  <c r="AH8" i="5"/>
  <c r="AH9" i="5"/>
  <c r="B10" i="5"/>
  <c r="C10" i="5"/>
  <c r="D10" i="5"/>
  <c r="E10" i="5"/>
  <c r="F10" i="5"/>
  <c r="G10" i="5"/>
  <c r="J10" i="5"/>
  <c r="K10" i="5"/>
  <c r="L10" i="5"/>
  <c r="M10" i="5"/>
  <c r="N10" i="5"/>
  <c r="Q10" i="5"/>
  <c r="R10" i="5"/>
  <c r="S10" i="5"/>
  <c r="T10" i="5"/>
  <c r="U10" i="5"/>
  <c r="X10" i="5"/>
  <c r="Y10" i="5"/>
  <c r="Z10" i="5"/>
  <c r="AA10" i="5"/>
  <c r="AB10" i="5"/>
  <c r="AE10" i="5"/>
  <c r="AE10" i="4"/>
  <c r="AD10" i="4"/>
  <c r="AC10" i="4"/>
  <c r="AB10" i="4"/>
  <c r="AA10" i="4"/>
  <c r="X10" i="4"/>
  <c r="W10" i="4"/>
  <c r="V10" i="4"/>
  <c r="U10" i="4"/>
  <c r="T10" i="4"/>
  <c r="Q10" i="4"/>
  <c r="P10" i="4"/>
  <c r="O10" i="4"/>
  <c r="N10" i="4"/>
  <c r="M10" i="4"/>
  <c r="J10" i="4"/>
  <c r="I10" i="4"/>
  <c r="H10" i="4"/>
  <c r="G10" i="4"/>
  <c r="F10" i="4"/>
  <c r="E10" i="4"/>
  <c r="D10" i="4"/>
  <c r="B10" i="4"/>
  <c r="AH9" i="4"/>
  <c r="AH8" i="4"/>
  <c r="AH10" i="4" s="1"/>
  <c r="AH7" i="4"/>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G12" i="19" a="1"/>
  <c r="AG12" i="21" a="1"/>
  <c r="AG12" i="4" a="1"/>
  <c r="AG12" i="24" a="1"/>
  <c r="AG12" i="15" a="1"/>
  <c r="AG12" i="22" a="1"/>
  <c r="AG12" i="20" a="1"/>
  <c r="AG13" i="23" a="1"/>
  <c r="AG13" i="22" a="1"/>
  <c r="AG13" i="20" a="1"/>
  <c r="AG13" i="5" a="1"/>
  <c r="AG13" i="21" a="1"/>
  <c r="AG13" i="4" a="1"/>
  <c r="AG13" i="15" a="1"/>
  <c r="AG13" i="17" a="1"/>
  <c r="AG12" i="17" a="1"/>
  <c r="AG12" i="23" a="1"/>
  <c r="AG12" i="18" a="1"/>
  <c r="AG13" i="19" a="1"/>
  <c r="AG12" i="25" a="1"/>
  <c r="AG13" i="25" a="1"/>
  <c r="AG12" i="5" a="1"/>
  <c r="AG13" i="24" a="1"/>
  <c r="AG13" i="18" a="1"/>
  <c r="AG12" i="15" l="1"/>
  <c r="AG12" i="24"/>
  <c r="AG12" i="22"/>
  <c r="AG12" i="20"/>
  <c r="AG12" i="18"/>
  <c r="AG13" i="15"/>
  <c r="AG13" i="24"/>
  <c r="AG13" i="23"/>
  <c r="AG13" i="22"/>
  <c r="AG13" i="21"/>
  <c r="AG13" i="19"/>
  <c r="AG13" i="18"/>
  <c r="AG13" i="17"/>
  <c r="AG12" i="5"/>
  <c r="AG12" i="25"/>
  <c r="AG12" i="23"/>
  <c r="AG12" i="21"/>
  <c r="AG12" i="19"/>
  <c r="AG12" i="17"/>
  <c r="AG13" i="5"/>
  <c r="AG13" i="25"/>
  <c r="AG13" i="20"/>
  <c r="AG13" i="4"/>
  <c r="AG12" i="4"/>
  <c r="AH10" i="5"/>
  <c r="AG5" i="17" l="1"/>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H7" i="25" l="1"/>
  <c r="AH8" i="25"/>
  <c r="AH9" i="25"/>
  <c r="AH7" i="23"/>
  <c r="AH8" i="23"/>
  <c r="AH9" i="23"/>
  <c r="AH7" i="20"/>
  <c r="AH8" i="20"/>
  <c r="AH9" i="20"/>
  <c r="AH7" i="18"/>
  <c r="AH8" i="18"/>
  <c r="AH9" i="18"/>
  <c r="AD10" i="15"/>
  <c r="AE10" i="15"/>
  <c r="AF10" i="15"/>
  <c r="AG10" i="15"/>
  <c r="AF10" i="25"/>
  <c r="AG10" i="25"/>
  <c r="AE10" i="24"/>
  <c r="AE10" i="23"/>
  <c r="AF10" i="23"/>
  <c r="AG10" i="23"/>
  <c r="AF10" i="22"/>
  <c r="AG10" i="22"/>
  <c r="AF10" i="21"/>
  <c r="AF10" i="20"/>
  <c r="AG10" i="20"/>
  <c r="AG10" i="19"/>
  <c r="AG10" i="18"/>
  <c r="AF10" i="18"/>
  <c r="AF10" i="17"/>
  <c r="AG10" i="17"/>
  <c r="B10" i="23" l="1"/>
  <c r="AB10" i="25"/>
  <c r="AA10" i="25"/>
  <c r="Z10" i="25"/>
  <c r="Y10" i="25"/>
  <c r="U10" i="25"/>
  <c r="T10" i="25"/>
  <c r="S10" i="25"/>
  <c r="R10" i="25"/>
  <c r="N10" i="25"/>
  <c r="L10" i="25"/>
  <c r="K10" i="25"/>
  <c r="G10" i="25"/>
  <c r="F10" i="25"/>
  <c r="E10" i="25"/>
  <c r="D10" i="25"/>
  <c r="B10" i="25"/>
  <c r="AH4" i="25"/>
  <c r="AD10" i="24"/>
  <c r="AC10" i="24"/>
  <c r="AB10" i="24"/>
  <c r="X10" i="24"/>
  <c r="W10" i="24"/>
  <c r="V10" i="24"/>
  <c r="U10" i="24"/>
  <c r="Q10" i="24"/>
  <c r="P10" i="24"/>
  <c r="O10" i="24"/>
  <c r="N10" i="24"/>
  <c r="J10" i="24"/>
  <c r="I10" i="24"/>
  <c r="H10" i="24"/>
  <c r="G10" i="24"/>
  <c r="C10" i="24"/>
  <c r="B10" i="24"/>
  <c r="AH9" i="24"/>
  <c r="AH8" i="24"/>
  <c r="AH7" i="24"/>
  <c r="AH4" i="24"/>
  <c r="AD10" i="23"/>
  <c r="AC10" i="23"/>
  <c r="Z10" i="23"/>
  <c r="Y10" i="23"/>
  <c r="X10" i="23"/>
  <c r="W10" i="23"/>
  <c r="V10" i="23"/>
  <c r="S10" i="23"/>
  <c r="R10" i="23"/>
  <c r="Q10" i="23"/>
  <c r="P10" i="23"/>
  <c r="O10" i="23"/>
  <c r="L10" i="23"/>
  <c r="K10" i="23"/>
  <c r="J10" i="23"/>
  <c r="I10" i="23"/>
  <c r="H10" i="23"/>
  <c r="E10" i="23"/>
  <c r="D10" i="23"/>
  <c r="C10" i="23"/>
  <c r="AH10" i="23"/>
  <c r="AH4" i="23"/>
  <c r="AC10" i="22"/>
  <c r="AB10" i="22"/>
  <c r="AA10" i="22"/>
  <c r="Z10" i="22"/>
  <c r="Y10" i="22"/>
  <c r="V10" i="22"/>
  <c r="U10" i="22"/>
  <c r="T10" i="22"/>
  <c r="S10" i="22"/>
  <c r="R10" i="22"/>
  <c r="O10" i="22"/>
  <c r="N10" i="22"/>
  <c r="M10" i="22"/>
  <c r="L10" i="22"/>
  <c r="K10" i="22"/>
  <c r="H10" i="22"/>
  <c r="G10" i="22"/>
  <c r="F10" i="22"/>
  <c r="E10" i="22"/>
  <c r="D10" i="22"/>
  <c r="B10" i="22"/>
  <c r="AH9" i="22"/>
  <c r="AH8" i="22"/>
  <c r="AH7" i="22"/>
  <c r="AH4" i="22"/>
  <c r="AE10" i="21"/>
  <c r="AD10" i="21"/>
  <c r="AC10" i="21"/>
  <c r="AB10" i="21"/>
  <c r="Y10" i="21"/>
  <c r="X10" i="21"/>
  <c r="W10" i="21"/>
  <c r="V10" i="21"/>
  <c r="U10" i="21"/>
  <c r="R10" i="21"/>
  <c r="Q10" i="21"/>
  <c r="O10" i="21"/>
  <c r="N10" i="21"/>
  <c r="K10" i="21"/>
  <c r="J10" i="21"/>
  <c r="I10" i="21"/>
  <c r="H10" i="21"/>
  <c r="G10" i="21"/>
  <c r="D10" i="21"/>
  <c r="C10" i="21"/>
  <c r="B10" i="21"/>
  <c r="AH9" i="21"/>
  <c r="AH8" i="21"/>
  <c r="AH7" i="21"/>
  <c r="AH4" i="21"/>
  <c r="AE10" i="20"/>
  <c r="AD10" i="20"/>
  <c r="AA10" i="20"/>
  <c r="Z10" i="20"/>
  <c r="Y10" i="20"/>
  <c r="X10" i="20"/>
  <c r="W10" i="20"/>
  <c r="T10" i="20"/>
  <c r="S10" i="20"/>
  <c r="R10" i="20"/>
  <c r="Q10" i="20"/>
  <c r="P10" i="20"/>
  <c r="M10" i="20"/>
  <c r="L10" i="20"/>
  <c r="K10" i="20"/>
  <c r="J10" i="20"/>
  <c r="I10" i="20"/>
  <c r="F10" i="20"/>
  <c r="E10" i="20"/>
  <c r="D10" i="20"/>
  <c r="B10" i="20"/>
  <c r="AH4" i="20"/>
  <c r="AD10" i="19"/>
  <c r="AC10" i="19"/>
  <c r="AB10" i="19"/>
  <c r="AA10" i="19"/>
  <c r="Z10" i="19"/>
  <c r="V10" i="19"/>
  <c r="U10" i="19"/>
  <c r="T10" i="19"/>
  <c r="S10" i="19"/>
  <c r="P10" i="19"/>
  <c r="O10" i="19"/>
  <c r="N10" i="19"/>
  <c r="M10" i="19"/>
  <c r="L10" i="19"/>
  <c r="I10" i="19"/>
  <c r="H10" i="19"/>
  <c r="G10" i="19"/>
  <c r="F10" i="19"/>
  <c r="E10" i="19"/>
  <c r="B10" i="19"/>
  <c r="AH9" i="19"/>
  <c r="AH8" i="19"/>
  <c r="AH7" i="19"/>
  <c r="AH4" i="19"/>
  <c r="AE10" i="18"/>
  <c r="AD10" i="18"/>
  <c r="AC10" i="18"/>
  <c r="AB10" i="18"/>
  <c r="Y10" i="18"/>
  <c r="X10" i="18"/>
  <c r="W10" i="18"/>
  <c r="V10" i="18"/>
  <c r="U10" i="18"/>
  <c r="R10" i="18"/>
  <c r="Q10" i="18"/>
  <c r="P10" i="18"/>
  <c r="N10" i="18"/>
  <c r="K10" i="18"/>
  <c r="J10" i="18"/>
  <c r="I10" i="18"/>
  <c r="H10" i="18"/>
  <c r="G10" i="18"/>
  <c r="D10" i="18"/>
  <c r="C10" i="18"/>
  <c r="B10" i="18"/>
  <c r="AH10" i="18"/>
  <c r="AH4" i="18"/>
  <c r="AE10" i="17"/>
  <c r="AB10" i="17"/>
  <c r="AA10" i="17"/>
  <c r="Z10" i="17"/>
  <c r="Y10" i="17"/>
  <c r="X10" i="17"/>
  <c r="U10" i="17"/>
  <c r="T10" i="17"/>
  <c r="S10" i="17"/>
  <c r="R10" i="17"/>
  <c r="Q10" i="17"/>
  <c r="N10" i="17"/>
  <c r="M10" i="17"/>
  <c r="L10" i="17"/>
  <c r="K10" i="17"/>
  <c r="J10" i="17"/>
  <c r="G10" i="17"/>
  <c r="F10" i="17"/>
  <c r="E10" i="17"/>
  <c r="D10" i="17"/>
  <c r="C10" i="17"/>
  <c r="B10" i="17"/>
  <c r="AH9" i="17"/>
  <c r="AH8" i="17"/>
  <c r="AH7" i="17"/>
  <c r="AH4" i="17"/>
  <c r="AH10" i="17" l="1"/>
  <c r="AH10" i="21"/>
  <c r="AH10" i="22"/>
  <c r="AH10" i="25"/>
  <c r="AH10" i="20"/>
  <c r="AH10" i="19"/>
  <c r="AH10" i="24"/>
  <c r="AH4" i="15" l="1"/>
  <c r="AH7" i="15" l="1"/>
  <c r="AH8" i="15"/>
  <c r="AH9" i="15"/>
  <c r="AH10" i="15" l="1"/>
  <c r="C10" i="15"/>
  <c r="D10" i="15"/>
  <c r="E10" i="15"/>
  <c r="I10" i="15"/>
  <c r="J10" i="15"/>
  <c r="K10" i="15"/>
  <c r="L10" i="15"/>
  <c r="P10" i="15"/>
  <c r="Q10" i="15"/>
  <c r="R10" i="15"/>
  <c r="S10" i="15"/>
  <c r="W10" i="15"/>
  <c r="X10" i="15"/>
  <c r="Y10" i="15"/>
  <c r="B10" i="15"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<sst xmlns="http://schemas.openxmlformats.org/spreadsheetml/2006/main" count="624" uniqueCount="69">
  <si>
    <t>Janvier</t>
  </si>
  <si>
    <t>Nom de l’employé</t>
  </si>
  <si>
    <t>Dates d’absence</t>
  </si>
  <si>
    <t>1</t>
  </si>
  <si>
    <t>2</t>
  </si>
  <si>
    <t>3</t>
  </si>
  <si>
    <t>4</t>
  </si>
  <si>
    <t>M</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</si>
  <si>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</si>
  <si>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</si>
  <si>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</si>
  <si>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</si>
  <si>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</si>
  <si>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</si>
  <si>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</si>
  <si>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</si>
  <si>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</si>
  <si>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</si>
  <si>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</si>
  <si>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</si>
  <si>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</si>
  <si>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</si>
  <si>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</si>
  <si>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</si>
  <si>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</si>
  <si>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</si>
  <si>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</si>
  <si>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</si>
  <si>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</si>
  <si>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</si>
  <si>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</si>
  <si>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</si>
  <si>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</si>
  <si>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</si>
  <si>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</si>
  <si>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</si>
  <si>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</si>
  <si>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</si>
  <si>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</si>
  <si>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</si>
  <si>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</si>
  <si>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</si>
  <si>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</si>
  <si>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</si>
  <si>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</si>
  <si>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</si>
  <si>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</si>
  <si>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</si>
  <si>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</si>
  <si>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</si>
  <si>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</si>
  <si>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J</t>
  </si>
  <si>
    <t>Journée</t>
  </si>
  <si>
    <t>Matin</t>
  </si>
  <si>
    <t>A</t>
  </si>
  <si>
    <t>Après-midi</t>
  </si>
  <si>
    <t>Légende</t>
  </si>
  <si>
    <t>Noms</t>
  </si>
  <si>
    <t>Claudine</t>
  </si>
  <si>
    <t>Laetitia</t>
  </si>
  <si>
    <t>Sabrina</t>
  </si>
  <si>
    <t>Calendrier des absences des assistantes 2021</t>
  </si>
  <si>
    <t>Mise à jour par :</t>
  </si>
  <si>
    <t>Mise à jour le :</t>
  </si>
  <si>
    <t>Usager</t>
  </si>
  <si>
    <t>Date</t>
  </si>
  <si>
    <t>PFRIMMER Sabrina</t>
  </si>
  <si>
    <t>Calendrier des absences des assistantes 2020</t>
  </si>
  <si>
    <t>LECLAIR Claudine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</si>
</sst>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5"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1"/>
      <name val="Calibri Light"/>
      <family val="2"/>
    </font>
    <font>
      <b/>
      <sz val="26"/>
      <color theme="3"/>
      <name val="Calibri Light"/>
      <family val="2"/>
    </font>
    <font>
      <b/>
      <sz val="11"/>
      <color theme="1"/>
      <name val="Calibri Light"/>
      <family val="2"/>
    </font>
    <font>
      <sz val="11"/>
      <color theme="4" tint="-0.499984740745262"/>
      <name val="Calibri Light"/>
      <family val="2"/>
    </font>
    <font>
      <b/>
      <sz val="18"/>
      <color theme="4" tint="-0.24994659260841701"/>
      <name val="Calibri Light"/>
      <family val="2"/>
    </font>
    <font>
      <sz val="11"/>
      <color theme="3"/>
      <name val="Calibri Light"/>
      <family val="2"/>
    </font>
    <font>
      <sz val="10"/>
      <color theme="1"/>
      <name val="Calibri Light"/>
      <family val="2"/>
    </font>
  </fonts>
  <fills count="34">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3"/>
        <bgColor indexed="64"/>
      </patternFill>
    </fill>
  </fills>
  <borders count="8">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theme="0"/>
      </left>
      <right style="thin">
        <color theme="0"/>
      </right>
      <top style="thin">
        <color theme="0"/>
      </top>
      <bottom style="thin">
        <color theme="0"/>
      </bottom>
      <diagonal/>
    </border>
    <border>
      <left style="thin">
        <color theme="0"/>
      </left>
      <right style="thin">
        <color theme="0"/>
      </right>
      <top style="thin">
        <color theme="0"/>
      </top>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36">
    <xf numFmtId="0" fontId="0" fillId="0" borderId="0" xfId="0">
      <alignment horizontal="left" vertical="center"/>
    </xf>
    <xf numFmtId="0" fontId="18" fillId="0" borderId="0" xfId="0" applyFont="1" applyAlignment="1" applyProtection="1">
      <alignment vertical="center" wrapText="1"/>
    </xf>
    <xf numFmtId="0" fontId="19" fillId="0" borderId="0" xfId="1" applyFont="1" applyAlignment="1" applyProtection="1">
      <alignment vertical="center"/>
    </xf>
    <xf numFmtId="0" fontId="18" fillId="0" borderId="0" xfId="0" applyFont="1" applyAlignment="1" applyProtection="1">
      <alignment vertical="center"/>
    </xf>
    <xf numFmtId="0" fontId="18" fillId="0" borderId="0" xfId="0" applyFont="1" applyAlignment="1" applyProtection="1">
      <alignment horizontal="right" vertical="center"/>
    </xf>
    <xf numFmtId="0" fontId="18" fillId="0" borderId="0" xfId="0" applyFont="1" applyAlignment="1">
      <alignment vertical="center"/>
    </xf>
    <xf numFmtId="0" fontId="18" fillId="0" borderId="0" xfId="0" applyFont="1" applyProtection="1">
      <alignment horizontal="left" vertical="center"/>
    </xf>
    <xf numFmtId="0" fontId="20" fillId="0" borderId="0" xfId="4" applyFont="1" applyFill="1" applyProtection="1">
      <alignment horizontal="right" vertical="center" indent="1"/>
    </xf>
    <xf numFmtId="0" fontId="20" fillId="15" borderId="0" xfId="12" applyFont="1" applyAlignment="1" applyProtection="1">
      <alignment horizontal="center" vertical="center"/>
    </xf>
    <xf numFmtId="0" fontId="20" fillId="10" borderId="0" xfId="19" applyFont="1" applyAlignment="1" applyProtection="1">
      <alignment horizontal="center" vertical="center"/>
    </xf>
    <xf numFmtId="0" fontId="20" fillId="13" borderId="0" xfId="23" applyFont="1" applyAlignment="1" applyProtection="1">
      <alignment horizontal="center" vertical="center"/>
    </xf>
    <xf numFmtId="0" fontId="18" fillId="0" borderId="0" xfId="21" applyFont="1" applyFill="1" applyAlignment="1" applyProtection="1">
      <alignment horizontal="left" vertical="center"/>
    </xf>
    <xf numFmtId="0" fontId="18" fillId="0" borderId="0" xfId="0" applyFont="1">
      <alignment horizontal="left" vertical="center"/>
    </xf>
    <xf numFmtId="0" fontId="21" fillId="0" borderId="0" xfId="27" applyFont="1" applyProtection="1">
      <alignment horizontal="center"/>
    </xf>
    <xf numFmtId="0" fontId="22" fillId="2" borderId="0" xfId="3" applyFont="1" applyProtection="1">
      <alignment horizontal="center" vertical="center"/>
    </xf>
    <xf numFmtId="0" fontId="18" fillId="0" borderId="0" xfId="0" applyFont="1" applyAlignment="1" applyProtection="1">
      <alignment horizontal="center" vertical="center"/>
    </xf>
    <xf numFmtId="0" fontId="18" fillId="2" borderId="0" xfId="21" applyFont="1" applyBorder="1" applyAlignment="1" applyProtection="1">
      <alignment horizontal="left" vertical="center" indent="1"/>
    </xf>
    <xf numFmtId="0" fontId="18" fillId="0" borderId="0" xfId="0" applyFont="1" applyFill="1" applyBorder="1" applyAlignment="1" applyProtection="1">
      <alignment horizontal="center" vertical="center"/>
    </xf>
    <xf numFmtId="0" fontId="18" fillId="0" borderId="0" xfId="21" applyFont="1" applyFill="1" applyBorder="1" applyAlignment="1" applyProtection="1">
      <alignment horizontal="center" vertical="center"/>
    </xf>
    <xf numFmtId="0" fontId="18" fillId="0" borderId="0" xfId="26" applyFont="1" applyFill="1" applyBorder="1">
      <alignment horizontal="left" vertical="center" wrapText="1" indent="2"/>
    </xf>
    <xf numFmtId="0" fontId="18" fillId="33" borderId="6" xfId="0" applyFont="1" applyFill="1" applyBorder="1" applyAlignment="1" applyProtection="1">
      <alignment horizontal="center" vertical="center"/>
    </xf>
    <xf numFmtId="1" fontId="18" fillId="0" borderId="0" xfId="25" applyFont="1" applyFill="1" applyBorder="1" applyProtection="1">
      <alignment horizontal="center" vertical="center"/>
    </xf>
    <xf numFmtId="0" fontId="18" fillId="0" borderId="0" xfId="0" applyFont="1" applyFill="1" applyBorder="1" applyAlignment="1" applyProtection="1">
      <alignment horizontal="left" vertical="center" indent="1"/>
    </xf>
    <xf numFmtId="166" fontId="18" fillId="33" borderId="7" xfId="0" applyNumberFormat="1" applyFont="1" applyFill="1" applyBorder="1" applyAlignment="1" applyProtection="1">
      <alignment horizontal="center" vertical="center"/>
    </xf>
    <xf numFmtId="166" fontId="18" fillId="0" borderId="0" xfId="0" applyNumberFormat="1" applyFont="1" applyFill="1" applyBorder="1" applyAlignment="1" applyProtection="1">
      <alignment horizontal="center" vertical="center"/>
    </xf>
    <xf numFmtId="0" fontId="19" fillId="0" borderId="0" xfId="1" applyFont="1">
      <alignment vertical="top"/>
    </xf>
    <xf numFmtId="0" fontId="18" fillId="0" borderId="0" xfId="26" applyFont="1">
      <alignment horizontal="left" vertical="center" wrapText="1" indent="2"/>
    </xf>
    <xf numFmtId="0" fontId="18" fillId="0" borderId="0" xfId="26" applyFont="1" applyFill="1" applyBorder="1" applyProtection="1">
      <alignment horizontal="left" vertical="center" wrapText="1" indent="2"/>
    </xf>
    <xf numFmtId="0" fontId="23" fillId="0" borderId="0" xfId="0" applyFont="1" applyFill="1" applyBorder="1" applyAlignment="1" applyProtection="1">
      <alignment horizontal="center" vertical="center"/>
    </xf>
    <xf numFmtId="0" fontId="24" fillId="0" borderId="0" xfId="0" applyFont="1" applyProtection="1">
      <alignment horizontal="left" vertical="center"/>
    </xf>
    <xf numFmtId="0" fontId="24" fillId="0" borderId="0" xfId="0" applyFont="1" applyAlignment="1" applyProtection="1">
      <alignment horizontal="right" vertical="center"/>
    </xf>
    <xf numFmtId="22" fontId="18" fillId="0" borderId="0" xfId="0" applyNumberFormat="1" applyFont="1">
      <alignment horizontal="left" vertical="center"/>
    </xf>
    <xf numFmtId="0" fontId="24" fillId="0" borderId="0" xfId="0" applyFont="1" applyAlignment="1" applyProtection="1">
      <alignment horizontal="left" vertical="center"/>
    </xf>
    <xf numFmtId="0" fontId="22" fillId="2" borderId="0" xfId="3" applyFont="1" applyProtection="1">
      <alignment horizontal="center" vertical="center"/>
    </xf>
    <xf numFmtId="0" fontId="18" fillId="0" borderId="0" xfId="21" applyFont="1" applyFill="1" applyAlignment="1" applyProtection="1">
      <alignment horizontal="left" vertical="center"/>
    </xf>
    <xf numFmtId="0" fontId="18" fillId="0" borderId="0" xfId="21" applyFont="1" applyFill="1" applyAlignment="1" applyProtection="1">
      <alignment horizontal="center"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90">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font>
        <strike val="0"/>
        <outline val="0"/>
        <shadow val="0"/>
        <u val="none"/>
        <vertAlign val="baseline"/>
        <name val="Calibri Light"/>
        <family val="2"/>
        <scheme val="none"/>
      </font>
    </dxf>
    <dxf>
      <font>
        <strike val="0"/>
        <outline val="0"/>
        <shadow val="0"/>
        <u val="none"/>
        <vertAlign val="baseline"/>
        <name val="Calibri Light"/>
        <family val="2"/>
        <scheme val="none"/>
      </font>
    </dxf>
    <dxf>
      <font>
        <strike val="0"/>
        <outline val="0"/>
        <shadow val="0"/>
        <u val="none"/>
        <vertAlign val="baseline"/>
        <name val="Calibri Light"/>
        <family val="2"/>
        <scheme val="none"/>
      </font>
    </dxf>
    <dxf>
      <font>
        <strike val="0"/>
        <outline val="0"/>
        <shadow val="0"/>
        <u val="none"/>
        <vertAlign val="baseline"/>
        <name val="Calibri Light"/>
        <family val="2"/>
        <scheme val="none"/>
      </font>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strike val="0"/>
        <outline val="0"/>
        <shadow val="0"/>
        <u val="none"/>
        <vertAlign val="baseline"/>
        <name val="Calibri Light"/>
        <family val="2"/>
        <scheme val="none"/>
      </font>
      <numFmt numFmtId="0" formatCode="General"/>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numFmt numFmtId="1" formatCode="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strike val="0"/>
        <outline val="0"/>
        <shadow val="0"/>
        <u val="none"/>
        <vertAlign val="baseline"/>
        <name val="Calibri Light"/>
        <family val="2"/>
        <scheme val="none"/>
      </font>
      <numFmt numFmtId="0" formatCode="General"/>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strike val="0"/>
        <outline val="0"/>
        <shadow val="0"/>
        <u val="none"/>
        <vertAlign val="baseline"/>
        <name val="Calibri Light"/>
        <family val="2"/>
        <scheme val="none"/>
      </font>
      <numFmt numFmtId="0" formatCode="General"/>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numFmt numFmtId="1" formatCode="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protection locked="1" hidden="0"/>
    </dxf>
    <dxf>
      <font>
        <strike val="0"/>
        <outline val="0"/>
        <shadow val="0"/>
        <u val="none"/>
        <vertAlign val="baseline"/>
        <name val="Calibri Light"/>
        <family val="2"/>
        <scheme val="none"/>
      </font>
      <numFmt numFmtId="0" formatCode="General"/>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protection locked="1" hidden="0"/>
    </dxf>
    <dxf>
      <font>
        <strike val="0"/>
        <outline val="0"/>
        <shadow val="0"/>
        <u val="none"/>
        <vertAlign val="baseline"/>
        <name val="Calibri Light"/>
        <family val="2"/>
        <scheme val="none"/>
      </font>
      <numFmt numFmtId="0" formatCode="General"/>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protection locked="1" hidden="0"/>
    </dxf>
    <dxf>
      <font>
        <strike val="0"/>
        <outline val="0"/>
        <shadow val="0"/>
        <u val="none"/>
        <vertAlign val="baseline"/>
        <name val="Calibri Light"/>
        <family val="2"/>
        <scheme val="none"/>
      </font>
      <numFmt numFmtId="0" formatCode="General"/>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numFmt numFmtId="1" formatCode="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protection locked="1" hidden="0"/>
    </dxf>
    <dxf>
      <font>
        <strike val="0"/>
        <outline val="0"/>
        <shadow val="0"/>
        <u val="none"/>
        <vertAlign val="baseline"/>
        <name val="Calibri Light"/>
        <family val="2"/>
        <scheme val="none"/>
      </font>
      <numFmt numFmtId="0" formatCode="General"/>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protection locked="1" hidden="0"/>
    </dxf>
    <dxf>
      <font>
        <strike val="0"/>
        <outline val="0"/>
        <shadow val="0"/>
        <u val="none"/>
        <vertAlign val="baseline"/>
        <name val="Calibri Light"/>
        <family val="2"/>
        <scheme val="none"/>
      </font>
      <numFmt numFmtId="0" formatCode="General"/>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numFmt numFmtId="1" formatCode="0"/>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protection locked="1" hidden="0"/>
    </dxf>
    <dxf>
      <font>
        <strike val="0"/>
        <outline val="0"/>
        <shadow val="0"/>
        <u val="none"/>
        <vertAlign val="baseline"/>
        <name val="Calibri Light"/>
        <family val="2"/>
        <scheme val="none"/>
      </font>
      <numFmt numFmtId="0" formatCode="General"/>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protection locked="1" hidden="0"/>
    </dxf>
    <dxf>
      <font>
        <strike val="0"/>
        <outline val="0"/>
        <shadow val="0"/>
        <u val="none"/>
        <vertAlign val="baseline"/>
        <name val="Calibri Light"/>
        <family val="2"/>
        <scheme val="none"/>
      </font>
      <numFmt numFmtId="0" formatCode="General"/>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protection locked="1" hidden="0"/>
    </dxf>
    <dxf>
      <font>
        <strike val="0"/>
        <outline val="0"/>
        <shadow val="0"/>
        <u val="none"/>
        <vertAlign val="baseline"/>
        <name val="Calibri Light"/>
        <family val="2"/>
        <scheme val="none"/>
      </font>
      <fill>
        <patternFill patternType="none">
          <fgColor indexed="64"/>
          <bgColor indexed="65"/>
        </patternFill>
      </fill>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5" tint="0.59996337778862885"/>
      </font>
      <fill>
        <patternFill>
          <bgColor theme="5" tint="0.59996337778862885"/>
        </patternFill>
      </fill>
    </dxf>
    <dxf>
      <font>
        <color theme="6" tint="0.39994506668294322"/>
      </font>
      <fill>
        <patternFill>
          <bgColor theme="6" tint="0.39994506668294322"/>
        </patternFill>
      </fill>
    </dxf>
    <dxf>
      <font>
        <color theme="4" tint="0.39994506668294322"/>
      </font>
      <fill>
        <patternFill>
          <bgColor theme="4" tint="0.39994506668294322"/>
        </patternFill>
      </fill>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dxf>
    <dxf>
      <font>
        <b val="0"/>
        <i val="0"/>
        <strike val="0"/>
        <condense val="0"/>
        <extend val="0"/>
        <outline val="0"/>
        <shadow val="0"/>
        <u val="none"/>
        <vertAlign val="baseline"/>
        <sz val="11"/>
        <color theme="1"/>
        <name val="Calibri Light"/>
        <family val="2"/>
        <scheme val="none"/>
      </font>
      <numFmt numFmtId="166" formatCode="0;0;"/>
      <fill>
        <patternFill patternType="none">
          <fgColor indexed="64"/>
          <bgColor indexed="65"/>
        </patternFill>
      </fill>
      <alignment horizontal="center" vertical="center" textRotation="0" wrapText="0" indent="0" justifyLastLine="0" shrinkToFit="0" readingOrder="0"/>
      <protection locked="1" hidden="0"/>
    </dxf>
    <dxf>
      <font>
        <strike val="0"/>
        <outline val="0"/>
        <shadow val="0"/>
        <u val="none"/>
        <vertAlign val="baseline"/>
        <name val="Calibri Light"/>
        <family val="2"/>
        <scheme val="none"/>
      </font>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numFmt numFmtId="166" formatCode="0;0;"/>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name val="Calibri Light"/>
        <family val="2"/>
        <scheme val="none"/>
      </font>
      <fill>
        <patternFill patternType="solid">
          <fgColor indexed="64"/>
          <bgColor theme="3"/>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1"/>
        <name val="Calibri Light"/>
        <family val="2"/>
        <scheme val="none"/>
      </font>
      <fill>
        <patternFill patternType="none">
          <fgColor indexed="64"/>
          <bgColor indexed="65"/>
        </patternFill>
      </fill>
      <alignment horizontal="left" vertical="center" textRotation="0" wrapText="0" indent="1" justifyLastLine="0" shrinkToFit="0" readingOrder="0"/>
      <protection locked="1" hidden="0"/>
    </dxf>
    <dxf>
      <font>
        <strike val="0"/>
        <outline val="0"/>
        <shadow val="0"/>
        <u val="none"/>
        <vertAlign val="baseline"/>
        <name val="Calibri Light"/>
        <family val="2"/>
        <scheme val="none"/>
      </font>
      <fill>
        <patternFill patternType="none">
          <fgColor indexed="64"/>
          <bgColor indexed="65"/>
        </patternFill>
      </fill>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strike val="0"/>
        <outline val="0"/>
        <shadow val="0"/>
        <u val="none"/>
        <vertAlign val="baseline"/>
        <name val="Calibri Light"/>
        <family val="2"/>
        <scheme val="none"/>
      </font>
      <protection locked="1" hidden="0"/>
    </dxf>
    <dxf>
      <font>
        <color theme="4" tint="0.39994506668294322"/>
      </font>
      <fill>
        <patternFill>
          <bgColor theme="4" tint="0.39994506668294322"/>
        </patternFill>
      </fill>
    </dxf>
    <dxf>
      <font>
        <color theme="5" tint="0.59996337778862885"/>
      </font>
      <fill>
        <patternFill>
          <bgColor theme="5" tint="0.59996337778862885"/>
        </patternFill>
      </fill>
    </dxf>
    <dxf>
      <font>
        <color theme="6" tint="0.39994506668294322"/>
      </font>
      <fill>
        <patternFill>
          <bgColor theme="6" tint="0.39994506668294322"/>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89"/>
      <tableStyleElement type="headerRow" dxfId="988"/>
      <tableStyleElement type="totalRow" dxfId="987"/>
      <tableStyleElement type="firstColumn" dxfId="986"/>
      <tableStyleElement type="lastColumn" dxfId="985"/>
      <tableStyleElement type="firstRowStripe" dxfId="984"/>
      <tableStyleElement type="secondRowStripe" dxfId="983"/>
      <tableStyleElement type="firstColumnStripe" dxfId="982"/>
      <tableStyleElement type="secondColumnStripe" dxfId="981"/>
      <tableStyleElement type="firstHeaderCell" dxfId="980"/>
      <tableStyleElement type="lastHeaderCell" dxfId="979"/>
      <tableStyleElement type="firstTotalCell" dxfId="978"/>
      <tableStyleElement type="lastTotalCell" dxfId="977"/>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7.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8.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9.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10.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1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_rels/drawing12.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3" name="Graphique 2" descr="Envoyer">
          <a:extLst>
            <a:ext uri="{FF2B5EF4-FFF2-40B4-BE49-F238E27FC236}">
              <a16:creationId xmlns:a16="http://schemas.microsoft.com/office/drawing/2014/main" id="{3CE3FEAC-C48D-4469-BF71-A50D3B37DD03}"/>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40DD2B31-D8AA-40DE-9B24-CD0B2FC93F8D}"/>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ACA8018E-24DC-4A70-8282-3C9AC9DD1DDB}"/>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CC652F43-8E03-40FC-A8EE-A8228C21A44A}"/>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1FEE52CE-764F-4EE0-AEBD-C037F277C2C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4BA2C99E-1FA5-4F4F-9F1A-6F115FC0B194}"/>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4AD42B3E-9560-4498-B518-E7AE25946D73}"/>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75E28C60-E460-432B-A749-9A8A95B8576A}"/>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C2BF821D-7CA5-4499-92DF-CDDF317B545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967DC7A8-1469-4FB5-893A-E59EF182E23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9F027B84-4512-4F78-96CC-B4C8A0E655B1}"/>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30</xdr:col>
      <xdr:colOff>9525</xdr:colOff>
      <xdr:row>13</xdr:row>
      <xdr:rowOff>66675</xdr:rowOff>
    </xdr:from>
    <xdr:to>
      <xdr:col>33</xdr:col>
      <xdr:colOff>666750</xdr:colOff>
      <xdr:row>17</xdr:row>
      <xdr:rowOff>142875</xdr:rowOff>
    </xdr:to>
    <xdr:pic macro="[0]!Graphique2_Cliquer">
      <xdr:nvPicPr>
        <xdr:cNvPr id="2" name="Graphique 1" descr="Envoyer">
          <a:extLst>
            <a:ext uri="{FF2B5EF4-FFF2-40B4-BE49-F238E27FC236}">
              <a16:creationId xmlns:a16="http://schemas.microsoft.com/office/drawing/2014/main" id="{D3043C3B-3531-4A28-9E2D-01636A8B568D}"/>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0706100" y="4067175"/>
          <a:ext cx="1600200" cy="1600200"/>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10" totalsRowCount="1" headerRowDxfId="973" dataDxfId="972" totalsRowDxfId="971">
  <autoFilter ref="B6:AH9"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970" totalsRowDxfId="969" dataCellStyle="Employé">
      <totalsRowFormula>NomMois&amp;" Total"</totalsRowFormula>
    </tableColumn>
    <tableColumn id="2" xr3:uid="{00000000-0010-0000-0000-000002000000}" name="1" totalsRowFunction="custom" dataDxfId="968" totalsRowDxfId="967">
      <totalsRowFormula>SUBTOTAL(103,'2020-Janvier'!$D$7:$D$9)</totalsRowFormula>
    </tableColumn>
    <tableColumn id="3" xr3:uid="{00000000-0010-0000-0000-000003000000}" name="2" totalsRowFunction="custom" dataDxfId="966" totalsRowDxfId="965">
      <totalsRowFormula>SUBTOTAL(103,'2020-Janvier'!$D$7:$D$9)</totalsRowFormula>
    </tableColumn>
    <tableColumn id="4" xr3:uid="{00000000-0010-0000-0000-000004000000}" name="3" totalsRowFunction="custom" dataDxfId="964" totalsRowDxfId="963">
      <totalsRowFormula>SUBTOTAL(103,'2020-Janvier'!$E$7:$E$9)</totalsRowFormula>
    </tableColumn>
    <tableColumn id="5" xr3:uid="{00000000-0010-0000-0000-000005000000}" name="4" totalsRowFunction="custom" dataDxfId="962" totalsRowDxfId="961">
      <totalsRowFormula>SUBTOTAL(103,'2020-Janvier'!$F$7:$F$9)</totalsRowFormula>
    </tableColumn>
    <tableColumn id="6" xr3:uid="{00000000-0010-0000-0000-000006000000}" name="5" totalsRowFunction="custom" dataDxfId="960" totalsRowDxfId="959">
      <totalsRowFormula>SUBTOTAL(103,'2020-Janvier'!$G$7:$G$9)</totalsRowFormula>
    </tableColumn>
    <tableColumn id="7" xr3:uid="{00000000-0010-0000-0000-000007000000}" name="6" totalsRowFunction="custom" dataDxfId="958" totalsRowDxfId="957">
      <totalsRowFormula>SUBTOTAL(103,'2020-Janvier'!$H$7:$H$9)</totalsRowFormula>
    </tableColumn>
    <tableColumn id="8" xr3:uid="{00000000-0010-0000-0000-000008000000}" name="7" totalsRowFunction="custom" dataDxfId="956" totalsRowDxfId="955">
      <totalsRowFormula>SUBTOTAL(103,'2020-Janvier'!$I$7:$I$9)</totalsRowFormula>
    </tableColumn>
    <tableColumn id="9" xr3:uid="{00000000-0010-0000-0000-000009000000}" name="8" totalsRowFunction="custom" dataDxfId="954" totalsRowDxfId="953">
      <totalsRowFormula>SUBTOTAL(103,'2020-Janvier'!$J$7:$J$9)</totalsRowFormula>
    </tableColumn>
    <tableColumn id="10" xr3:uid="{00000000-0010-0000-0000-00000A000000}" name="9" totalsRowFunction="custom" dataDxfId="952" totalsRowDxfId="951">
      <totalsRowFormula>SUBTOTAL(103,'2020-Janvier'!$D$7:$D$9)</totalsRowFormula>
    </tableColumn>
    <tableColumn id="11" xr3:uid="{00000000-0010-0000-0000-00000B000000}" name="10" totalsRowFunction="custom" dataDxfId="950" totalsRowDxfId="949">
      <totalsRowFormula>SUBTOTAL(103,'2020-Janvier'!$E$7:$E$9)</totalsRowFormula>
    </tableColumn>
    <tableColumn id="12" xr3:uid="{00000000-0010-0000-0000-00000C000000}" name="11" totalsRowFunction="custom" dataDxfId="948" totalsRowDxfId="947">
      <totalsRowFormula>SUBTOTAL(103,'2020-Janvier'!$M$7:$M$9)</totalsRowFormula>
    </tableColumn>
    <tableColumn id="13" xr3:uid="{00000000-0010-0000-0000-00000D000000}" name="12" totalsRowFunction="custom" dataDxfId="946" totalsRowDxfId="945">
      <totalsRowFormula>SUBTOTAL(103,'2020-Janvier'!$N$7:$N$9)</totalsRowFormula>
    </tableColumn>
    <tableColumn id="14" xr3:uid="{00000000-0010-0000-0000-00000E000000}" name="13" totalsRowFunction="custom" dataDxfId="944" totalsRowDxfId="943">
      <totalsRowFormula>SUBTOTAL(103,'2020-Janvier'!$O$7:$O$9)</totalsRowFormula>
    </tableColumn>
    <tableColumn id="15" xr3:uid="{00000000-0010-0000-0000-00000F000000}" name="14" totalsRowFunction="custom" dataDxfId="942" totalsRowDxfId="941">
      <totalsRowFormula>SUBTOTAL(103,'2020-Janvier'!$P$7:$P$9)</totalsRowFormula>
    </tableColumn>
    <tableColumn id="16" xr3:uid="{00000000-0010-0000-0000-000010000000}" name="15" totalsRowFunction="custom" dataDxfId="940" totalsRowDxfId="939">
      <totalsRowFormula>SUBTOTAL(103,'2020-Janvier'!$Q$7:$Q$9)</totalsRowFormula>
    </tableColumn>
    <tableColumn id="17" xr3:uid="{00000000-0010-0000-0000-000011000000}" name="16" totalsRowFunction="custom" dataDxfId="938" totalsRowDxfId="937">
      <totalsRowFormula>SUBTOTAL(103,'2020-Janvier'!$D$7:$D$9)</totalsRowFormula>
    </tableColumn>
    <tableColumn id="18" xr3:uid="{00000000-0010-0000-0000-000012000000}" name="17" totalsRowFunction="custom" dataDxfId="936" totalsRowDxfId="935">
      <totalsRowFormula>SUBTOTAL(103,'2020-Janvier'!$E$7:$E$9)</totalsRowFormula>
    </tableColumn>
    <tableColumn id="19" xr3:uid="{00000000-0010-0000-0000-000013000000}" name="18" totalsRowFunction="custom" dataDxfId="934" totalsRowDxfId="933">
      <totalsRowFormula>SUBTOTAL(103,'2020-Janvier'!$T$7:$T$9)</totalsRowFormula>
    </tableColumn>
    <tableColumn id="20" xr3:uid="{00000000-0010-0000-0000-000014000000}" name="19" totalsRowFunction="custom" dataDxfId="932" totalsRowDxfId="931">
      <totalsRowFormula>SUBTOTAL(103,'2020-Janvier'!$U$7:$U$9)</totalsRowFormula>
    </tableColumn>
    <tableColumn id="21" xr3:uid="{00000000-0010-0000-0000-000015000000}" name="20" totalsRowFunction="custom" dataDxfId="930" totalsRowDxfId="929">
      <totalsRowFormula>SUBTOTAL(103,'2020-Janvier'!$V$7:$V$9)</totalsRowFormula>
    </tableColumn>
    <tableColumn id="22" xr3:uid="{00000000-0010-0000-0000-000016000000}" name="21" totalsRowFunction="custom" dataDxfId="928" totalsRowDxfId="927">
      <totalsRowFormula>SUBTOTAL(103,'2020-Janvier'!$W$7:$W$9)</totalsRowFormula>
    </tableColumn>
    <tableColumn id="23" xr3:uid="{00000000-0010-0000-0000-000017000000}" name="22" totalsRowFunction="custom" dataDxfId="926" totalsRowDxfId="925">
      <totalsRowFormula>SUBTOTAL(103,'2020-Janvier'!$X$7:$X$9)</totalsRowFormula>
    </tableColumn>
    <tableColumn id="24" xr3:uid="{00000000-0010-0000-0000-000018000000}" name="23" totalsRowFunction="custom" dataDxfId="924" totalsRowDxfId="923">
      <totalsRowFormula>SUBTOTAL(103,'2020-Janvier'!$D$7:$D$9)</totalsRowFormula>
    </tableColumn>
    <tableColumn id="25" xr3:uid="{00000000-0010-0000-0000-000019000000}" name="24" totalsRowFunction="custom" dataDxfId="922" totalsRowDxfId="921">
      <totalsRowFormula>SUBTOTAL(103,'2020-Janvier'!$E$7:$E$9)</totalsRowFormula>
    </tableColumn>
    <tableColumn id="26" xr3:uid="{00000000-0010-0000-0000-00001A000000}" name="25" totalsRowFunction="custom" dataDxfId="920" totalsRowDxfId="919">
      <totalsRowFormula>SUBTOTAL(103,'2020-Janvier'!$AA$7:$AA$9)</totalsRowFormula>
    </tableColumn>
    <tableColumn id="27" xr3:uid="{00000000-0010-0000-0000-00001B000000}" name="26" totalsRowFunction="custom" dataDxfId="918" totalsRowDxfId="917">
      <totalsRowFormula>SUBTOTAL(103,'2020-Janvier'!$AB$7:$AB$9)</totalsRowFormula>
    </tableColumn>
    <tableColumn id="28" xr3:uid="{00000000-0010-0000-0000-00001C000000}" name="27" totalsRowFunction="custom" dataDxfId="916" totalsRowDxfId="915">
      <totalsRowFormula>SUBTOTAL(103,'2020-Janvier'!$AC$7:$AC$9)</totalsRowFormula>
    </tableColumn>
    <tableColumn id="29" xr3:uid="{00000000-0010-0000-0000-00001D000000}" name="28" totalsRowFunction="custom" dataDxfId="914" totalsRowDxfId="913">
      <totalsRowFormula>SUBTOTAL(103,'2020-Janvier'!$AD$7:$AD$9)</totalsRowFormula>
    </tableColumn>
    <tableColumn id="30" xr3:uid="{00000000-0010-0000-0000-00001E000000}" name="29" totalsRowFunction="custom" dataDxfId="912" totalsRowDxfId="911">
      <totalsRowFormula>SUBTOTAL(103,'2020-Janvier'!$AE$7:$AE$9)</totalsRowFormula>
    </tableColumn>
    <tableColumn id="31" xr3:uid="{00000000-0010-0000-0000-00001F000000}" name="30" totalsRowFunction="custom" dataDxfId="910" totalsRowDxfId="909">
      <totalsRowFormula>SUBTOTAL(103,'2020-Janvier'!$D$7:$D$9)</totalsRowFormula>
    </tableColumn>
    <tableColumn id="32" xr3:uid="{00000000-0010-0000-0000-000020000000}" name="31" totalsRowFunction="custom" dataDxfId="908" totalsRowDxfId="907">
      <totalsRowFormula>SUBTOTAL(103,'2020-Janvier'!$E$7:$E$9)</totalsRowFormula>
    </tableColumn>
    <tableColumn id="33" xr3:uid="{00000000-0010-0000-0000-000021000000}" name="Total des jours" totalsRowFunction="sum" dataDxfId="906" totalsRowDxfId="905">
      <calculatedColumnFormula>COUNTA('2020-Janvier'!$C7:$AG7)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0" totalsRowCount="1" headerRowDxfId="901" dataDxfId="900" totalsRowDxfId="899">
  <tableColumns count="33">
    <tableColumn id="1" xr3:uid="{00000000-0010-0000-0100-000001000000}" name="Nom de l’employé" totalsRowFunction="custom" dataDxfId="898" totalsRowDxfId="897" dataCellStyle="Employé">
      <totalsRowFormula>NomMois&amp;" Total"</totalsRowFormula>
    </tableColumn>
    <tableColumn id="2" xr3:uid="{00000000-0010-0000-0100-000002000000}" name="1" totalsRowFunction="count" dataDxfId="896" totalsRowDxfId="895"/>
    <tableColumn id="3" xr3:uid="{00000000-0010-0000-0100-000003000000}" name="2" totalsRowFunction="count" dataDxfId="894" totalsRowDxfId="893"/>
    <tableColumn id="4" xr3:uid="{00000000-0010-0000-0100-000004000000}" name="3" totalsRowFunction="count" dataDxfId="892" totalsRowDxfId="891"/>
    <tableColumn id="5" xr3:uid="{00000000-0010-0000-0100-000005000000}" name="4" totalsRowFunction="count" dataDxfId="890" totalsRowDxfId="889"/>
    <tableColumn id="6" xr3:uid="{00000000-0010-0000-0100-000006000000}" name="5" totalsRowFunction="count" dataDxfId="888" totalsRowDxfId="887"/>
    <tableColumn id="7" xr3:uid="{00000000-0010-0000-0100-000007000000}" name="6" totalsRowFunction="custom" dataDxfId="886" totalsRowDxfId="885">
      <totalsRowFormula>SUBTOTAL(103,'2020-Janvier'!$D$7:$D$9)</totalsRowFormula>
    </tableColumn>
    <tableColumn id="8" xr3:uid="{00000000-0010-0000-0100-000008000000}" name="7" totalsRowFunction="custom" dataDxfId="884" totalsRowDxfId="883">
      <totalsRowFormula>SUBTOTAL(103,'2020-Janvier'!$E$7:$E$9)</totalsRowFormula>
    </tableColumn>
    <tableColumn id="9" xr3:uid="{00000000-0010-0000-0100-000009000000}" name="8" totalsRowFunction="count" dataDxfId="882" totalsRowDxfId="881"/>
    <tableColumn id="10" xr3:uid="{00000000-0010-0000-0100-00000A000000}" name="9" totalsRowFunction="count" dataDxfId="880" totalsRowDxfId="879"/>
    <tableColumn id="11" xr3:uid="{00000000-0010-0000-0100-00000B000000}" name="10" totalsRowFunction="count" dataDxfId="878" totalsRowDxfId="877"/>
    <tableColumn id="12" xr3:uid="{00000000-0010-0000-0100-00000C000000}" name="11" totalsRowFunction="count" dataDxfId="876" totalsRowDxfId="875"/>
    <tableColumn id="13" xr3:uid="{00000000-0010-0000-0100-00000D000000}" name="12" totalsRowFunction="count" dataDxfId="874" totalsRowDxfId="873"/>
    <tableColumn id="14" xr3:uid="{00000000-0010-0000-0100-00000E000000}" name="13" totalsRowFunction="custom" dataDxfId="872" totalsRowDxfId="871">
      <totalsRowFormula>SUBTOTAL(103,'2020-Janvier'!$D$7:$D$9)</totalsRowFormula>
    </tableColumn>
    <tableColumn id="15" xr3:uid="{00000000-0010-0000-0100-00000F000000}" name="14" totalsRowFunction="custom" dataDxfId="870" totalsRowDxfId="869">
      <totalsRowFormula>SUBTOTAL(103,'2020-Janvier'!$E$7:$E$9)</totalsRowFormula>
    </tableColumn>
    <tableColumn id="16" xr3:uid="{00000000-0010-0000-0100-000010000000}" name="15" totalsRowFunction="count" dataDxfId="868" totalsRowDxfId="867"/>
    <tableColumn id="17" xr3:uid="{00000000-0010-0000-0100-000011000000}" name="16" totalsRowFunction="count" dataDxfId="866" totalsRowDxfId="865"/>
    <tableColumn id="18" xr3:uid="{00000000-0010-0000-0100-000012000000}" name="17" totalsRowFunction="count" dataDxfId="864" totalsRowDxfId="863"/>
    <tableColumn id="19" xr3:uid="{00000000-0010-0000-0100-000013000000}" name="18" totalsRowFunction="count" dataDxfId="862" totalsRowDxfId="861"/>
    <tableColumn id="20" xr3:uid="{00000000-0010-0000-0100-000014000000}" name="19" totalsRowFunction="count" dataDxfId="860" totalsRowDxfId="859"/>
    <tableColumn id="21" xr3:uid="{00000000-0010-0000-0100-000015000000}" name="20" totalsRowFunction="custom" dataDxfId="858" totalsRowDxfId="857">
      <totalsRowFormula>SUBTOTAL(103,'2020-Janvier'!$D$7:$D$9)</totalsRowFormula>
    </tableColumn>
    <tableColumn id="22" xr3:uid="{00000000-0010-0000-0100-000016000000}" name="21" totalsRowFunction="custom" dataDxfId="856" totalsRowDxfId="855">
      <totalsRowFormula>SUBTOTAL(103,'2020-Janvier'!$E$7:$E$9)</totalsRowFormula>
    </tableColumn>
    <tableColumn id="23" xr3:uid="{00000000-0010-0000-0100-000017000000}" name="22" totalsRowFunction="count" dataDxfId="854" totalsRowDxfId="853"/>
    <tableColumn id="24" xr3:uid="{00000000-0010-0000-0100-000018000000}" name="23" totalsRowFunction="count" dataDxfId="852" totalsRowDxfId="851"/>
    <tableColumn id="25" xr3:uid="{00000000-0010-0000-0100-000019000000}" name="24" totalsRowFunction="count" dataDxfId="850" totalsRowDxfId="849"/>
    <tableColumn id="26" xr3:uid="{00000000-0010-0000-0100-00001A000000}" name="25" totalsRowFunction="count" dataDxfId="848" totalsRowDxfId="847"/>
    <tableColumn id="27" xr3:uid="{00000000-0010-0000-0100-00001B000000}" name="26" totalsRowFunction="count" dataDxfId="846" totalsRowDxfId="845"/>
    <tableColumn id="28" xr3:uid="{00000000-0010-0000-0100-00001C000000}" name="27" totalsRowFunction="custom" dataDxfId="844" totalsRowDxfId="843">
      <totalsRowFormula>SUBTOTAL(103,'2020-Janvier'!$D$7:$D$9)</totalsRowFormula>
    </tableColumn>
    <tableColumn id="29" xr3:uid="{00000000-0010-0000-0100-00001D000000}" name="28" totalsRowFunction="custom" dataDxfId="842" totalsRowDxfId="841">
      <totalsRowFormula>SUBTOTAL(103,'2020-Janvier'!$E$7:$E$9)</totalsRowFormula>
    </tableColumn>
    <tableColumn id="30" xr3:uid="{00000000-0010-0000-0100-00001E000000}" name="29" totalsRowFunction="count" dataDxfId="840" totalsRowDxfId="839"/>
    <tableColumn id="31" xr3:uid="{00000000-0010-0000-0100-00001F000000}" name=" " dataDxfId="838" totalsRowDxfId="837"/>
    <tableColumn id="32" xr3:uid="{00000000-0010-0000-0100-000020000000}" name="  " dataDxfId="836" totalsRowDxfId="835"/>
    <tableColumn id="33" xr3:uid="{00000000-0010-0000-0100-000021000000}" name="Total des jours" totalsRowFunction="sum" dataDxfId="834" totalsRowDxfId="833">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0" totalsRowCount="1" headerRowDxfId="829" dataDxfId="828" totalsRowDxfId="827">
  <tableColumns count="33">
    <tableColumn id="1" xr3:uid="{00000000-0010-0000-0200-000001000000}" name="Nom de l’employé" totalsRowFunction="custom" dataDxfId="826" totalsRowDxfId="825" dataCellStyle="Employé">
      <totalsRowFormula>NomMois&amp;" Total"</totalsRowFormula>
    </tableColumn>
    <tableColumn id="2" xr3:uid="{00000000-0010-0000-0200-000002000000}" name="1" totalsRowFunction="count" dataDxfId="824" totalsRowDxfId="823"/>
    <tableColumn id="3" xr3:uid="{00000000-0010-0000-0200-000003000000}" name="2" totalsRowFunction="count" dataDxfId="822" totalsRowDxfId="821"/>
    <tableColumn id="4" xr3:uid="{00000000-0010-0000-0200-000004000000}" name="3" totalsRowFunction="count" dataDxfId="820" totalsRowDxfId="819"/>
    <tableColumn id="5" xr3:uid="{00000000-0010-0000-0200-000005000000}" name="4" totalsRowFunction="count" dataDxfId="818" totalsRowDxfId="817"/>
    <tableColumn id="6" xr3:uid="{00000000-0010-0000-0200-000006000000}" name="5" totalsRowFunction="count" dataDxfId="816" totalsRowDxfId="815"/>
    <tableColumn id="7" xr3:uid="{00000000-0010-0000-0200-000007000000}" name="6" totalsRowFunction="custom" dataDxfId="814" totalsRowDxfId="813">
      <totalsRowFormula>SUBTOTAL(103,'2020-Janvier'!$D$7:$D$9)</totalsRowFormula>
    </tableColumn>
    <tableColumn id="8" xr3:uid="{00000000-0010-0000-0200-000008000000}" name="7" totalsRowFunction="custom" dataDxfId="812" totalsRowDxfId="811">
      <totalsRowFormula>SUBTOTAL(103,'2020-Janvier'!$E$7:$E$9)</totalsRowFormula>
    </tableColumn>
    <tableColumn id="9" xr3:uid="{00000000-0010-0000-0200-000009000000}" name="8" totalsRowFunction="count" dataDxfId="810" totalsRowDxfId="809"/>
    <tableColumn id="10" xr3:uid="{00000000-0010-0000-0200-00000A000000}" name="9" totalsRowFunction="count" dataDxfId="808" totalsRowDxfId="807"/>
    <tableColumn id="11" xr3:uid="{00000000-0010-0000-0200-00000B000000}" name="10" totalsRowFunction="count" dataDxfId="806" totalsRowDxfId="805"/>
    <tableColumn id="12" xr3:uid="{00000000-0010-0000-0200-00000C000000}" name="11" totalsRowFunction="count" dataDxfId="804" totalsRowDxfId="803"/>
    <tableColumn id="13" xr3:uid="{00000000-0010-0000-0200-00000D000000}" name="12" totalsRowFunction="count" dataDxfId="802" totalsRowDxfId="801"/>
    <tableColumn id="14" xr3:uid="{00000000-0010-0000-0200-00000E000000}" name="13" totalsRowFunction="custom" dataDxfId="800" totalsRowDxfId="799">
      <totalsRowFormula>SUBTOTAL(103,'2020-Janvier'!$D$7:$D$9)</totalsRowFormula>
    </tableColumn>
    <tableColumn id="15" xr3:uid="{00000000-0010-0000-0200-00000F000000}" name="14" totalsRowFunction="custom" dataDxfId="798" totalsRowDxfId="797">
      <totalsRowFormula>SUBTOTAL(103,'2020-Janvier'!$E$7:$E$9)</totalsRowFormula>
    </tableColumn>
    <tableColumn id="16" xr3:uid="{00000000-0010-0000-0200-000010000000}" name="15" totalsRowFunction="count" dataDxfId="796" totalsRowDxfId="795"/>
    <tableColumn id="17" xr3:uid="{00000000-0010-0000-0200-000011000000}" name="16" totalsRowFunction="count" dataDxfId="794" totalsRowDxfId="793"/>
    <tableColumn id="18" xr3:uid="{00000000-0010-0000-0200-000012000000}" name="17" totalsRowFunction="count" dataDxfId="792" totalsRowDxfId="791"/>
    <tableColumn id="19" xr3:uid="{00000000-0010-0000-0200-000013000000}" name="18" totalsRowFunction="count" dataDxfId="790" totalsRowDxfId="789"/>
    <tableColumn id="20" xr3:uid="{00000000-0010-0000-0200-000014000000}" name="19" totalsRowFunction="count" dataDxfId="788" totalsRowDxfId="787"/>
    <tableColumn id="21" xr3:uid="{00000000-0010-0000-0200-000015000000}" name="20" totalsRowFunction="custom" dataDxfId="786" totalsRowDxfId="785">
      <totalsRowFormula>SUBTOTAL(103,'2020-Janvier'!$D$7:$D$9)</totalsRowFormula>
    </tableColumn>
    <tableColumn id="22" xr3:uid="{00000000-0010-0000-0200-000016000000}" name="21" totalsRowFunction="custom" dataDxfId="784" totalsRowDxfId="783">
      <totalsRowFormula>SUBTOTAL(103,'2020-Janvier'!$E$7:$E$9)</totalsRowFormula>
    </tableColumn>
    <tableColumn id="23" xr3:uid="{00000000-0010-0000-0200-000017000000}" name="22" totalsRowFunction="count" dataDxfId="782" totalsRowDxfId="781"/>
    <tableColumn id="24" xr3:uid="{00000000-0010-0000-0200-000018000000}" name="23" totalsRowFunction="count" dataDxfId="780" totalsRowDxfId="779"/>
    <tableColumn id="25" xr3:uid="{00000000-0010-0000-0200-000019000000}" name="24" totalsRowFunction="count" dataDxfId="778" totalsRowDxfId="777"/>
    <tableColumn id="26" xr3:uid="{00000000-0010-0000-0200-00001A000000}" name="25" totalsRowFunction="count" dataDxfId="776" totalsRowDxfId="775"/>
    <tableColumn id="27" xr3:uid="{00000000-0010-0000-0200-00001B000000}" name="26" totalsRowFunction="count" dataDxfId="774" totalsRowDxfId="773"/>
    <tableColumn id="28" xr3:uid="{00000000-0010-0000-0200-00001C000000}" name="27" totalsRowFunction="custom" dataDxfId="772" totalsRowDxfId="771">
      <totalsRowFormula>SUBTOTAL(103,'2020-Janvier'!$D$7:$D$9)</totalsRowFormula>
    </tableColumn>
    <tableColumn id="29" xr3:uid="{00000000-0010-0000-0200-00001D000000}" name="28" totalsRowFunction="custom" dataDxfId="770" totalsRowDxfId="769">
      <totalsRowFormula>SUBTOTAL(103,'2020-Janvier'!$E$7:$E$9)</totalsRowFormula>
    </tableColumn>
    <tableColumn id="30" xr3:uid="{00000000-0010-0000-0200-00001E000000}" name="29" totalsRowFunction="count" dataDxfId="768" totalsRowDxfId="767"/>
    <tableColumn id="31" xr3:uid="{00000000-0010-0000-0200-00001F000000}" name="30" totalsRowFunction="count" dataDxfId="766" totalsRowDxfId="765"/>
    <tableColumn id="32" xr3:uid="{00000000-0010-0000-0200-000020000000}" name="31" totalsRowFunction="count" dataDxfId="764" totalsRowDxfId="763"/>
    <tableColumn id="33" xr3:uid="{00000000-0010-0000-0200-000021000000}" name="Total des jours" totalsRowFunction="sum" dataDxfId="762" totalsRowDxfId="761">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0" totalsRowCount="1" headerRowDxfId="757" dataDxfId="756" totalsRowDxfId="755">
  <tableColumns count="33">
    <tableColumn id="1" xr3:uid="{00000000-0010-0000-0300-000001000000}" name="Nom de l’employé" totalsRowFunction="custom" dataDxfId="754" totalsRowDxfId="753" dataCellStyle="Employé">
      <totalsRowFormula>NomMois&amp;" Total"</totalsRowFormula>
    </tableColumn>
    <tableColumn id="2" xr3:uid="{00000000-0010-0000-0300-000002000000}" name="1" totalsRowFunction="count" dataDxfId="752" totalsRowDxfId="751"/>
    <tableColumn id="3" xr3:uid="{00000000-0010-0000-0300-000003000000}" name="2" totalsRowFunction="count" dataDxfId="750" totalsRowDxfId="749"/>
    <tableColumn id="4" xr3:uid="{00000000-0010-0000-0300-000004000000}" name="3" totalsRowFunction="custom" dataDxfId="748" totalsRowDxfId="747">
      <totalsRowFormula>SUBTOTAL(103,'2020-Janvier'!$D$7:$D$9)</totalsRowFormula>
    </tableColumn>
    <tableColumn id="5" xr3:uid="{00000000-0010-0000-0300-000005000000}" name="4" totalsRowFunction="custom" dataDxfId="746" totalsRowDxfId="745">
      <totalsRowFormula>SUBTOTAL(103,'2020-Janvier'!$E$7:$E$9)</totalsRowFormula>
    </tableColumn>
    <tableColumn id="6" xr3:uid="{00000000-0010-0000-0300-000006000000}" name="5" totalsRowFunction="count" dataDxfId="744" totalsRowDxfId="743"/>
    <tableColumn id="7" xr3:uid="{00000000-0010-0000-0300-000007000000}" name="6" totalsRowFunction="count" dataDxfId="742" totalsRowDxfId="741"/>
    <tableColumn id="8" xr3:uid="{00000000-0010-0000-0300-000008000000}" name="7" totalsRowFunction="count" dataDxfId="740" totalsRowDxfId="739"/>
    <tableColumn id="9" xr3:uid="{00000000-0010-0000-0300-000009000000}" name="8" totalsRowFunction="count" dataDxfId="738" totalsRowDxfId="737"/>
    <tableColumn id="10" xr3:uid="{00000000-0010-0000-0300-00000A000000}" name="9" totalsRowFunction="count" dataDxfId="736" totalsRowDxfId="735"/>
    <tableColumn id="11" xr3:uid="{00000000-0010-0000-0300-00000B000000}" name="10" totalsRowFunction="custom" dataDxfId="734" totalsRowDxfId="733">
      <totalsRowFormula>SUBTOTAL(103,'2020-Janvier'!$D$7:$D$9)</totalsRowFormula>
    </tableColumn>
    <tableColumn id="12" xr3:uid="{00000000-0010-0000-0300-00000C000000}" name="11" totalsRowFunction="custom" dataDxfId="732" totalsRowDxfId="731">
      <totalsRowFormula>SUBTOTAL(103,'2020-Janvier'!$E$7:$E$9)</totalsRowFormula>
    </tableColumn>
    <tableColumn id="13" xr3:uid="{00000000-0010-0000-0300-00000D000000}" name="12" totalsRowFunction="count" dataDxfId="730" totalsRowDxfId="729"/>
    <tableColumn id="14" xr3:uid="{00000000-0010-0000-0300-00000E000000}" name="13" totalsRowFunction="custom" dataDxfId="728" totalsRowDxfId="727">
      <totalsRowFormula>SUBTOTAL(103,'2020-Janvier'!$E$7:$E$9)</totalsRowFormula>
    </tableColumn>
    <tableColumn id="15" xr3:uid="{00000000-0010-0000-0300-00000F000000}" name="14" totalsRowFunction="count" dataDxfId="726" totalsRowDxfId="725"/>
    <tableColumn id="16" xr3:uid="{00000000-0010-0000-0300-000010000000}" name="15" totalsRowFunction="count" dataDxfId="724" totalsRowDxfId="723"/>
    <tableColumn id="17" xr3:uid="{00000000-0010-0000-0300-000011000000}" name="16" totalsRowFunction="count" dataDxfId="722" totalsRowDxfId="721"/>
    <tableColumn id="18" xr3:uid="{00000000-0010-0000-0300-000012000000}" name="17" totalsRowFunction="custom" dataDxfId="720" totalsRowDxfId="719">
      <totalsRowFormula>SUBTOTAL(103,'2020-Janvier'!$D$7:$D$9)</totalsRowFormula>
    </tableColumn>
    <tableColumn id="19" xr3:uid="{00000000-0010-0000-0300-000013000000}" name="18" totalsRowFunction="custom" dataDxfId="718" totalsRowDxfId="717">
      <totalsRowFormula>SUBTOTAL(103,'2020-Janvier'!$E$7:$E$9)</totalsRowFormula>
    </tableColumn>
    <tableColumn id="20" xr3:uid="{00000000-0010-0000-0300-000014000000}" name="19" totalsRowFunction="count" dataDxfId="716" totalsRowDxfId="715"/>
    <tableColumn id="21" xr3:uid="{00000000-0010-0000-0300-000015000000}" name="20" totalsRowFunction="count" dataDxfId="714" totalsRowDxfId="713"/>
    <tableColumn id="22" xr3:uid="{00000000-0010-0000-0300-000016000000}" name="21" totalsRowFunction="count" dataDxfId="712" totalsRowDxfId="711"/>
    <tableColumn id="23" xr3:uid="{00000000-0010-0000-0300-000017000000}" name="22" totalsRowFunction="count" dataDxfId="710" totalsRowDxfId="709"/>
    <tableColumn id="24" xr3:uid="{00000000-0010-0000-0300-000018000000}" name="23" totalsRowFunction="count" dataDxfId="708" totalsRowDxfId="707"/>
    <tableColumn id="25" xr3:uid="{00000000-0010-0000-0300-000019000000}" name="24" totalsRowFunction="custom" dataDxfId="706" totalsRowDxfId="705">
      <totalsRowFormula>SUBTOTAL(103,'2020-Janvier'!$D$7:$D$9)</totalsRowFormula>
    </tableColumn>
    <tableColumn id="26" xr3:uid="{00000000-0010-0000-0300-00001A000000}" name="25" totalsRowFunction="custom" dataDxfId="704" totalsRowDxfId="703">
      <totalsRowFormula>SUBTOTAL(103,'2020-Janvier'!$E$7:$E$9)</totalsRowFormula>
    </tableColumn>
    <tableColumn id="27" xr3:uid="{00000000-0010-0000-0300-00001B000000}" name="26" totalsRowFunction="count" dataDxfId="702" totalsRowDxfId="701"/>
    <tableColumn id="28" xr3:uid="{00000000-0010-0000-0300-00001C000000}" name="27" totalsRowFunction="count" dataDxfId="700" totalsRowDxfId="699"/>
    <tableColumn id="29" xr3:uid="{00000000-0010-0000-0300-00001D000000}" name="28" totalsRowFunction="count" dataDxfId="698" totalsRowDxfId="697"/>
    <tableColumn id="30" xr3:uid="{00000000-0010-0000-0300-00001E000000}" name="29" totalsRowFunction="count" dataDxfId="696" totalsRowDxfId="695"/>
    <tableColumn id="31" xr3:uid="{00000000-0010-0000-0300-00001F000000}" name="30" totalsRowFunction="count" dataDxfId="694" totalsRowDxfId="693"/>
    <tableColumn id="32" xr3:uid="{00000000-0010-0000-0300-000020000000}" name=" " totalsRowFunction="custom" dataDxfId="692" totalsRowDxfId="691">
      <totalsRowFormula>SUBTOTAL(103,Avril[30])</totalsRowFormula>
    </tableColumn>
    <tableColumn id="33" xr3:uid="{00000000-0010-0000-0300-000021000000}" name="Total des jours" totalsRowFunction="sum" dataDxfId="690" totalsRowDxfId="689">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0" totalsRowCount="1" headerRowDxfId="685" dataDxfId="684" totalsRowDxfId="683">
  <tableColumns count="33">
    <tableColumn id="1" xr3:uid="{00000000-0010-0000-0400-000001000000}" name="Nom de l’employé" totalsRowFunction="custom" dataDxfId="682" totalsRowDxfId="681" dataCellStyle="Employé">
      <totalsRowFormula>NomMois&amp;" Total"</totalsRowFormula>
    </tableColumn>
    <tableColumn id="2" xr3:uid="{00000000-0010-0000-0400-000002000000}" name="1" totalsRowFunction="custom" dataDxfId="680" totalsRowDxfId="679">
      <totalsRowFormula>SUBTOTAL(103,'2020-Janvier'!$D$7:$D$9)</totalsRowFormula>
    </tableColumn>
    <tableColumn id="3" xr3:uid="{00000000-0010-0000-0400-000003000000}" name="2" totalsRowFunction="custom" dataDxfId="678" totalsRowDxfId="677">
      <totalsRowFormula>SUBTOTAL(103,'2020-Janvier'!$E$7:$E$9)</totalsRowFormula>
    </tableColumn>
    <tableColumn id="4" xr3:uid="{00000000-0010-0000-0400-000004000000}" name="3" totalsRowFunction="count" dataDxfId="676" totalsRowDxfId="675"/>
    <tableColumn id="5" xr3:uid="{00000000-0010-0000-0400-000005000000}" name="4" totalsRowFunction="count" dataDxfId="674" totalsRowDxfId="673"/>
    <tableColumn id="6" xr3:uid="{00000000-0010-0000-0400-000006000000}" name="5" totalsRowFunction="count" dataDxfId="672" totalsRowDxfId="671"/>
    <tableColumn id="7" xr3:uid="{00000000-0010-0000-0400-000007000000}" name="6" totalsRowFunction="count" dataDxfId="670" totalsRowDxfId="669"/>
    <tableColumn id="8" xr3:uid="{00000000-0010-0000-0400-000008000000}" name="7" totalsRowFunction="count" dataDxfId="668" totalsRowDxfId="667"/>
    <tableColumn id="9" xr3:uid="{00000000-0010-0000-0400-000009000000}" name="8" totalsRowFunction="custom" dataDxfId="666" totalsRowDxfId="665">
      <totalsRowFormula>SUBTOTAL(103,'2020-Janvier'!$D$7:$D$9)</totalsRowFormula>
    </tableColumn>
    <tableColumn id="10" xr3:uid="{00000000-0010-0000-0400-00000A000000}" name="9" totalsRowFunction="custom" dataDxfId="664" totalsRowDxfId="663">
      <totalsRowFormula>SUBTOTAL(103,'2020-Janvier'!$E$7:$E$9)</totalsRowFormula>
    </tableColumn>
    <tableColumn id="11" xr3:uid="{00000000-0010-0000-0400-00000B000000}" name="10" totalsRowFunction="count" dataDxfId="662" totalsRowDxfId="661"/>
    <tableColumn id="12" xr3:uid="{00000000-0010-0000-0400-00000C000000}" name="11" totalsRowFunction="count" dataDxfId="660" totalsRowDxfId="659"/>
    <tableColumn id="13" xr3:uid="{00000000-0010-0000-0400-00000D000000}" name="12" totalsRowFunction="count" dataDxfId="658" totalsRowDxfId="657"/>
    <tableColumn id="14" xr3:uid="{00000000-0010-0000-0400-00000E000000}" name="13" totalsRowFunction="count" dataDxfId="656" totalsRowDxfId="655"/>
    <tableColumn id="15" xr3:uid="{00000000-0010-0000-0400-00000F000000}" name="14" totalsRowFunction="count" dataDxfId="654" totalsRowDxfId="653"/>
    <tableColumn id="16" xr3:uid="{00000000-0010-0000-0400-000010000000}" name="15" totalsRowFunction="custom" dataDxfId="652" totalsRowDxfId="651">
      <totalsRowFormula>SUBTOTAL(103,'2020-Janvier'!$D$7:$D$9)</totalsRowFormula>
    </tableColumn>
    <tableColumn id="17" xr3:uid="{00000000-0010-0000-0400-000011000000}" name="16" totalsRowFunction="custom" dataDxfId="650" totalsRowDxfId="649">
      <totalsRowFormula>SUBTOTAL(103,'2020-Janvier'!$E$7:$E$9)</totalsRowFormula>
    </tableColumn>
    <tableColumn id="18" xr3:uid="{00000000-0010-0000-0400-000012000000}" name="17" totalsRowFunction="count" dataDxfId="648" totalsRowDxfId="647"/>
    <tableColumn id="19" xr3:uid="{00000000-0010-0000-0400-000013000000}" name="18" totalsRowFunction="count" dataDxfId="646" totalsRowDxfId="645"/>
    <tableColumn id="20" xr3:uid="{00000000-0010-0000-0400-000014000000}" name="19" totalsRowFunction="count" dataDxfId="644" totalsRowDxfId="643"/>
    <tableColumn id="21" xr3:uid="{00000000-0010-0000-0400-000015000000}" name="20" totalsRowFunction="count" dataDxfId="642" totalsRowDxfId="641"/>
    <tableColumn id="22" xr3:uid="{00000000-0010-0000-0400-000016000000}" name="21" totalsRowFunction="custom" dataDxfId="640" totalsRowDxfId="639">
      <totalsRowFormula>SUBTOTAL(103,'2020-Janvier'!$E$7:$E$9)</totalsRowFormula>
    </tableColumn>
    <tableColumn id="23" xr3:uid="{00000000-0010-0000-0400-000017000000}" name="22" totalsRowFunction="custom" dataDxfId="638" totalsRowDxfId="637">
      <totalsRowFormula>SUBTOTAL(103,'2020-Janvier'!$D$7:$D$9)</totalsRowFormula>
    </tableColumn>
    <tableColumn id="24" xr3:uid="{00000000-0010-0000-0400-000018000000}" name="23" totalsRowFunction="custom" dataDxfId="636" totalsRowDxfId="635">
      <totalsRowFormula>SUBTOTAL(103,'2020-Janvier'!$E$7:$E$9)</totalsRowFormula>
    </tableColumn>
    <tableColumn id="25" xr3:uid="{00000000-0010-0000-0400-000019000000}" name="24" totalsRowFunction="count" dataDxfId="634" totalsRowDxfId="633"/>
    <tableColumn id="26" xr3:uid="{00000000-0010-0000-0400-00001A000000}" name="25" totalsRowFunction="count" dataDxfId="632" totalsRowDxfId="631"/>
    <tableColumn id="27" xr3:uid="{00000000-0010-0000-0400-00001B000000}" name="26" totalsRowFunction="count" dataDxfId="630" totalsRowDxfId="629"/>
    <tableColumn id="28" xr3:uid="{00000000-0010-0000-0400-00001C000000}" name="27" totalsRowFunction="count" dataDxfId="628" totalsRowDxfId="627"/>
    <tableColumn id="29" xr3:uid="{00000000-0010-0000-0400-00001D000000}" name="28" totalsRowFunction="count" dataDxfId="626" totalsRowDxfId="625"/>
    <tableColumn id="30" xr3:uid="{00000000-0010-0000-0400-00001E000000}" name="29" totalsRowFunction="custom" dataDxfId="624" totalsRowDxfId="623">
      <totalsRowFormula>SUBTOTAL(103,'2020-Janvier'!$D$7:$D$9)</totalsRowFormula>
    </tableColumn>
    <tableColumn id="31" xr3:uid="{00000000-0010-0000-0400-00001F000000}" name="30" totalsRowFunction="custom" dataDxfId="622" totalsRowDxfId="621">
      <totalsRowFormula>SUBTOTAL(103,'2020-Janvier'!$E$7:$E$9)</totalsRowFormula>
    </tableColumn>
    <tableColumn id="32" xr3:uid="{00000000-0010-0000-0400-000020000000}" name="31" totalsRowFunction="count" dataDxfId="620" totalsRowDxfId="619"/>
    <tableColumn id="33" xr3:uid="{00000000-0010-0000-0400-000021000000}" name="Total des jours" totalsRowFunction="sum" dataDxfId="618" totalsRowDxfId="617">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0" totalsRowCount="1" headerRowDxfId="613" dataDxfId="612" totalsRowDxfId="611">
  <tableColumns count="33">
    <tableColumn id="1" xr3:uid="{00000000-0010-0000-0500-000001000000}" name="Nom de l’employé" totalsRowFunction="custom" dataDxfId="610" totalsRowDxfId="609" dataCellStyle="Employé">
      <totalsRowFormula>NomMois&amp;" Total"</totalsRowFormula>
    </tableColumn>
    <tableColumn id="2" xr3:uid="{00000000-0010-0000-0500-000002000000}" name="1" totalsRowFunction="custom" dataDxfId="608" totalsRowDxfId="607">
      <totalsRowFormula>SUBTOTAL(103,'2020-Janvier'!$E$7:$E$9)</totalsRowFormula>
    </tableColumn>
    <tableColumn id="3" xr3:uid="{00000000-0010-0000-0500-000003000000}" name="2" totalsRowFunction="count" dataDxfId="606" totalsRowDxfId="605"/>
    <tableColumn id="4" xr3:uid="{00000000-0010-0000-0500-000004000000}" name="3" totalsRowFunction="count" dataDxfId="604" totalsRowDxfId="603"/>
    <tableColumn id="5" xr3:uid="{00000000-0010-0000-0500-000005000000}" name="4" totalsRowFunction="count" dataDxfId="602" totalsRowDxfId="601"/>
    <tableColumn id="6" xr3:uid="{00000000-0010-0000-0500-000006000000}" name="5" totalsRowFunction="custom" dataDxfId="600" totalsRowDxfId="599">
      <totalsRowFormula>SUBTOTAL(103,'2020-Janvier'!$D$7:$D$9)</totalsRowFormula>
    </tableColumn>
    <tableColumn id="7" xr3:uid="{00000000-0010-0000-0500-000007000000}" name="6" totalsRowFunction="custom" dataDxfId="598" totalsRowDxfId="597">
      <totalsRowFormula>SUBTOTAL(103,'2020-Janvier'!$E$7:$E$9)</totalsRowFormula>
    </tableColumn>
    <tableColumn id="8" xr3:uid="{00000000-0010-0000-0500-000008000000}" name="7" totalsRowFunction="count" dataDxfId="596" totalsRowDxfId="595"/>
    <tableColumn id="9" xr3:uid="{00000000-0010-0000-0500-000009000000}" name="8" totalsRowFunction="count" dataDxfId="594" totalsRowDxfId="593"/>
    <tableColumn id="10" xr3:uid="{00000000-0010-0000-0500-00000A000000}" name="9" totalsRowFunction="count" dataDxfId="592" totalsRowDxfId="591"/>
    <tableColumn id="11" xr3:uid="{00000000-0010-0000-0500-00000B000000}" name="10" totalsRowFunction="count" dataDxfId="590" totalsRowDxfId="589"/>
    <tableColumn id="12" xr3:uid="{00000000-0010-0000-0500-00000C000000}" name="11" totalsRowFunction="count" dataDxfId="588" totalsRowDxfId="587"/>
    <tableColumn id="13" xr3:uid="{00000000-0010-0000-0500-00000D000000}" name="12" totalsRowFunction="custom" dataDxfId="586" totalsRowDxfId="585">
      <totalsRowFormula>SUBTOTAL(103,'2020-Janvier'!$D$7:$D$9)</totalsRowFormula>
    </tableColumn>
    <tableColumn id="14" xr3:uid="{00000000-0010-0000-0500-00000E000000}" name="13" totalsRowFunction="custom" dataDxfId="584" totalsRowDxfId="583">
      <totalsRowFormula>SUBTOTAL(103,'2020-Janvier'!$E$7:$E$9)</totalsRowFormula>
    </tableColumn>
    <tableColumn id="15" xr3:uid="{00000000-0010-0000-0500-00000F000000}" name="14" totalsRowFunction="count" dataDxfId="582" totalsRowDxfId="581"/>
    <tableColumn id="16" xr3:uid="{00000000-0010-0000-0500-000010000000}" name="15" totalsRowFunction="count" dataDxfId="580" totalsRowDxfId="579"/>
    <tableColumn id="17" xr3:uid="{00000000-0010-0000-0500-000011000000}" name="16" totalsRowFunction="count" dataDxfId="578" totalsRowDxfId="577"/>
    <tableColumn id="18" xr3:uid="{00000000-0010-0000-0500-000012000000}" name="17" totalsRowFunction="count" dataDxfId="576" totalsRowDxfId="575"/>
    <tableColumn id="19" xr3:uid="{00000000-0010-0000-0500-000013000000}" name="18" totalsRowFunction="count" dataDxfId="574" totalsRowDxfId="573"/>
    <tableColumn id="20" xr3:uid="{00000000-0010-0000-0500-000014000000}" name="19" totalsRowFunction="custom" dataDxfId="572" totalsRowDxfId="571">
      <totalsRowFormula>SUBTOTAL(103,'2020-Janvier'!$D$7:$D$9)</totalsRowFormula>
    </tableColumn>
    <tableColumn id="21" xr3:uid="{00000000-0010-0000-0500-000015000000}" name="20" totalsRowFunction="custom" dataDxfId="570" totalsRowDxfId="569">
      <totalsRowFormula>SUBTOTAL(103,'2020-Janvier'!$E$7:$E$9)</totalsRowFormula>
    </tableColumn>
    <tableColumn id="22" xr3:uid="{00000000-0010-0000-0500-000016000000}" name="21" totalsRowFunction="count" dataDxfId="568" totalsRowDxfId="567"/>
    <tableColumn id="23" xr3:uid="{00000000-0010-0000-0500-000017000000}" name="22" totalsRowFunction="count" dataDxfId="566" totalsRowDxfId="565"/>
    <tableColumn id="24" xr3:uid="{00000000-0010-0000-0500-000018000000}" name="23" totalsRowFunction="count" dataDxfId="564" totalsRowDxfId="563"/>
    <tableColumn id="25" xr3:uid="{00000000-0010-0000-0500-000019000000}" name="24" totalsRowFunction="count" dataDxfId="562" totalsRowDxfId="561"/>
    <tableColumn id="26" xr3:uid="{00000000-0010-0000-0500-00001A000000}" name="25" totalsRowFunction="count" dataDxfId="560" totalsRowDxfId="559"/>
    <tableColumn id="27" xr3:uid="{00000000-0010-0000-0500-00001B000000}" name="26" totalsRowFunction="custom" dataDxfId="558" totalsRowDxfId="557">
      <totalsRowFormula>SUBTOTAL(103,'2020-Janvier'!$D$7:$D$9)</totalsRowFormula>
    </tableColumn>
    <tableColumn id="28" xr3:uid="{00000000-0010-0000-0500-00001C000000}" name="27" totalsRowFunction="custom" dataDxfId="556" totalsRowDxfId="555">
      <totalsRowFormula>SUBTOTAL(103,'2020-Janvier'!$E$7:$E$9)</totalsRowFormula>
    </tableColumn>
    <tableColumn id="29" xr3:uid="{00000000-0010-0000-0500-00001D000000}" name="28" totalsRowFunction="count" dataDxfId="554" totalsRowDxfId="553"/>
    <tableColumn id="30" xr3:uid="{00000000-0010-0000-0500-00001E000000}" name="29" totalsRowFunction="count" dataDxfId="552" totalsRowDxfId="551"/>
    <tableColumn id="31" xr3:uid="{00000000-0010-0000-0500-00001F000000}" name="30" totalsRowFunction="count" dataDxfId="550" totalsRowDxfId="549"/>
    <tableColumn id="32" xr3:uid="{00000000-0010-0000-0500-000020000000}" name=" " totalsRowFunction="count" dataDxfId="548" totalsRowDxfId="547"/>
    <tableColumn id="33" xr3:uid="{00000000-0010-0000-0500-000021000000}" name="Total des jours" totalsRowFunction="sum" dataDxfId="546" totalsRowDxfId="545">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0" totalsRowCount="1" headerRowDxfId="541" dataDxfId="540" totalsRowDxfId="539">
  <tableColumns count="33">
    <tableColumn id="1" xr3:uid="{00000000-0010-0000-0600-000001000000}" name="Nom de l’employé" totalsRowFunction="custom" dataDxfId="538" totalsRowDxfId="537" dataCellStyle="Employé">
      <totalsRowFormula>NomMois&amp;" Total"</totalsRowFormula>
    </tableColumn>
    <tableColumn id="2" xr3:uid="{00000000-0010-0000-0600-000002000000}" name="1" totalsRowFunction="count" dataDxfId="536" totalsRowDxfId="535"/>
    <tableColumn id="3" xr3:uid="{00000000-0010-0000-0600-000003000000}" name="2" totalsRowFunction="count" dataDxfId="534" totalsRowDxfId="533"/>
    <tableColumn id="4" xr3:uid="{00000000-0010-0000-0600-000004000000}" name="3" totalsRowFunction="custom" dataDxfId="532" totalsRowDxfId="531">
      <totalsRowFormula>SUBTOTAL(103,'2020-Janvier'!$D$7:$D$9)</totalsRowFormula>
    </tableColumn>
    <tableColumn id="5" xr3:uid="{00000000-0010-0000-0600-000005000000}" name="4" totalsRowFunction="custom" dataDxfId="530" totalsRowDxfId="529">
      <totalsRowFormula>SUBTOTAL(103,'2020-Janvier'!$E$7:$E$9)</totalsRowFormula>
    </tableColumn>
    <tableColumn id="6" xr3:uid="{00000000-0010-0000-0600-000006000000}" name="5" totalsRowFunction="count" dataDxfId="528" totalsRowDxfId="527"/>
    <tableColumn id="7" xr3:uid="{00000000-0010-0000-0600-000007000000}" name="6" totalsRowFunction="count" dataDxfId="526" totalsRowDxfId="525"/>
    <tableColumn id="8" xr3:uid="{00000000-0010-0000-0600-000008000000}" name="7" totalsRowFunction="count" dataDxfId="524" totalsRowDxfId="523"/>
    <tableColumn id="9" xr3:uid="{00000000-0010-0000-0600-000009000000}" name="8" totalsRowFunction="count" dataDxfId="522" totalsRowDxfId="521"/>
    <tableColumn id="10" xr3:uid="{00000000-0010-0000-0600-00000A000000}" name="9" totalsRowFunction="count" dataDxfId="520" totalsRowDxfId="519"/>
    <tableColumn id="11" xr3:uid="{00000000-0010-0000-0600-00000B000000}" name="10" totalsRowFunction="custom" dataDxfId="518" totalsRowDxfId="517">
      <totalsRowFormula>SUBTOTAL(103,'2020-Janvier'!$D$7:$D$9)</totalsRowFormula>
    </tableColumn>
    <tableColumn id="12" xr3:uid="{00000000-0010-0000-0600-00000C000000}" name="11" totalsRowFunction="custom" dataDxfId="516" totalsRowDxfId="515">
      <totalsRowFormula>SUBTOTAL(103,'2020-Janvier'!$E$7:$E$9)</totalsRowFormula>
    </tableColumn>
    <tableColumn id="13" xr3:uid="{00000000-0010-0000-0600-00000D000000}" name="12" totalsRowFunction="count" dataDxfId="514" totalsRowDxfId="513"/>
    <tableColumn id="14" xr3:uid="{00000000-0010-0000-0600-00000E000000}" name="13" totalsRowFunction="count" dataDxfId="512" totalsRowDxfId="511"/>
    <tableColumn id="15" xr3:uid="{00000000-0010-0000-0600-00000F000000}" name="14" totalsRowFunction="custom" dataDxfId="510" totalsRowDxfId="509">
      <totalsRowFormula>SUBTOTAL(103,'2020-Janvier'!$E$7:$E$9)</totalsRowFormula>
    </tableColumn>
    <tableColumn id="16" xr3:uid="{00000000-0010-0000-0600-000010000000}" name="15" totalsRowFunction="count" dataDxfId="508" totalsRowDxfId="507"/>
    <tableColumn id="17" xr3:uid="{00000000-0010-0000-0600-000011000000}" name="16" totalsRowFunction="count" dataDxfId="506" totalsRowDxfId="505"/>
    <tableColumn id="18" xr3:uid="{00000000-0010-0000-0600-000012000000}" name="17" totalsRowFunction="custom" dataDxfId="504" totalsRowDxfId="503">
      <totalsRowFormula>SUBTOTAL(103,'2020-Janvier'!$D$7:$D$9)</totalsRowFormula>
    </tableColumn>
    <tableColumn id="19" xr3:uid="{00000000-0010-0000-0600-000013000000}" name="18" totalsRowFunction="custom" dataDxfId="502" totalsRowDxfId="501">
      <totalsRowFormula>SUBTOTAL(103,'2020-Janvier'!$E$7:$E$9)</totalsRowFormula>
    </tableColumn>
    <tableColumn id="20" xr3:uid="{00000000-0010-0000-0600-000014000000}" name="19" totalsRowFunction="count" dataDxfId="500" totalsRowDxfId="499"/>
    <tableColumn id="21" xr3:uid="{00000000-0010-0000-0600-000015000000}" name="20" totalsRowFunction="count" dataDxfId="498" totalsRowDxfId="497"/>
    <tableColumn id="22" xr3:uid="{00000000-0010-0000-0600-000016000000}" name="21" totalsRowFunction="count" dataDxfId="496" totalsRowDxfId="495"/>
    <tableColumn id="23" xr3:uid="{00000000-0010-0000-0600-000017000000}" name="22" totalsRowFunction="count" dataDxfId="494" totalsRowDxfId="493"/>
    <tableColumn id="24" xr3:uid="{00000000-0010-0000-0600-000018000000}" name="23" totalsRowFunction="count" dataDxfId="492" totalsRowDxfId="491"/>
    <tableColumn id="25" xr3:uid="{00000000-0010-0000-0600-000019000000}" name="24" totalsRowFunction="custom" dataDxfId="490" totalsRowDxfId="489">
      <totalsRowFormula>SUBTOTAL(103,'2020-Janvier'!$D$7:$D$9)</totalsRowFormula>
    </tableColumn>
    <tableColumn id="26" xr3:uid="{00000000-0010-0000-0600-00001A000000}" name="25" totalsRowFunction="custom" dataDxfId="488" totalsRowDxfId="487">
      <totalsRowFormula>SUBTOTAL(103,'2020-Janvier'!$E$7:$E$9)</totalsRowFormula>
    </tableColumn>
    <tableColumn id="27" xr3:uid="{00000000-0010-0000-0600-00001B000000}" name="26" totalsRowFunction="count" dataDxfId="486" totalsRowDxfId="485"/>
    <tableColumn id="28" xr3:uid="{00000000-0010-0000-0600-00001C000000}" name="27" totalsRowFunction="count" dataDxfId="484" totalsRowDxfId="483"/>
    <tableColumn id="29" xr3:uid="{00000000-0010-0000-0600-00001D000000}" name="28" totalsRowFunction="count" dataDxfId="482" totalsRowDxfId="481"/>
    <tableColumn id="30" xr3:uid="{00000000-0010-0000-0600-00001E000000}" name="29" totalsRowFunction="count" dataDxfId="480" totalsRowDxfId="479"/>
    <tableColumn id="31" xr3:uid="{00000000-0010-0000-0600-00001F000000}" name="30" totalsRowFunction="count" dataDxfId="478" totalsRowDxfId="477"/>
    <tableColumn id="32" xr3:uid="{00000000-0010-0000-0600-000020000000}" name="31" totalsRowFunction="custom" dataDxfId="476" totalsRowDxfId="475">
      <totalsRowFormula>SUBTOTAL(103,'2020-Janvier'!$D$7:$D$9)</totalsRowFormula>
    </tableColumn>
    <tableColumn id="33" xr3:uid="{00000000-0010-0000-0600-000021000000}" name="Total des jours" totalsRowFunction="sum" dataDxfId="474" totalsRowDxfId="473">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0" totalsRowCount="1" headerRowDxfId="469" dataDxfId="468" totalsRowDxfId="467">
  <tableColumns count="33">
    <tableColumn id="1" xr3:uid="{00000000-0010-0000-0700-000001000000}" name="Nom de l’employé" totalsRowFunction="custom" dataDxfId="466" totalsRowDxfId="465" dataCellStyle="Employé">
      <totalsRowFormula>NomMois&amp;" Total"</totalsRowFormula>
    </tableColumn>
    <tableColumn id="2" xr3:uid="{00000000-0010-0000-0700-000002000000}" name="1" totalsRowFunction="custom" dataDxfId="464" totalsRowDxfId="463">
      <totalsRowFormula>SUBTOTAL(103,'2020-Janvier'!$D$7:$D$9)</totalsRowFormula>
    </tableColumn>
    <tableColumn id="3" xr3:uid="{00000000-0010-0000-0700-000003000000}" name="2" totalsRowFunction="count" dataDxfId="462" totalsRowDxfId="461"/>
    <tableColumn id="4" xr3:uid="{00000000-0010-0000-0700-000004000000}" name="3" totalsRowFunction="count" dataDxfId="460" totalsRowDxfId="459"/>
    <tableColumn id="5" xr3:uid="{00000000-0010-0000-0700-000005000000}" name="4" totalsRowFunction="count" dataDxfId="458" totalsRowDxfId="457"/>
    <tableColumn id="6" xr3:uid="{00000000-0010-0000-0700-000006000000}" name="5" totalsRowFunction="count" dataDxfId="456" totalsRowDxfId="455"/>
    <tableColumn id="7" xr3:uid="{00000000-0010-0000-0700-000007000000}" name="6" totalsRowFunction="count" dataDxfId="454" totalsRowDxfId="453"/>
    <tableColumn id="8" xr3:uid="{00000000-0010-0000-0700-000008000000}" name="7" totalsRowFunction="custom" dataDxfId="452" totalsRowDxfId="451">
      <totalsRowFormula>SUBTOTAL(103,'2020-Janvier'!$D$7:$D$9)</totalsRowFormula>
    </tableColumn>
    <tableColumn id="9" xr3:uid="{00000000-0010-0000-0700-000009000000}" name="8" totalsRowFunction="custom" dataDxfId="450" totalsRowDxfId="449">
      <totalsRowFormula>SUBTOTAL(103,'2020-Janvier'!$E$7:$E$9)</totalsRowFormula>
    </tableColumn>
    <tableColumn id="10" xr3:uid="{00000000-0010-0000-0700-00000A000000}" name="9" totalsRowFunction="count" dataDxfId="448" totalsRowDxfId="447"/>
    <tableColumn id="11" xr3:uid="{00000000-0010-0000-0700-00000B000000}" name="10" totalsRowFunction="count" dataDxfId="446" totalsRowDxfId="445"/>
    <tableColumn id="12" xr3:uid="{00000000-0010-0000-0700-00000C000000}" name="11" totalsRowFunction="count" dataDxfId="444" totalsRowDxfId="443"/>
    <tableColumn id="13" xr3:uid="{00000000-0010-0000-0700-00000D000000}" name="12" totalsRowFunction="count" dataDxfId="442" totalsRowDxfId="441"/>
    <tableColumn id="14" xr3:uid="{00000000-0010-0000-0700-00000E000000}" name="13" totalsRowFunction="count" dataDxfId="440" totalsRowDxfId="439"/>
    <tableColumn id="15" xr3:uid="{00000000-0010-0000-0700-00000F000000}" name="14" totalsRowFunction="custom" dataDxfId="438" totalsRowDxfId="437">
      <totalsRowFormula>SUBTOTAL(103,'2020-Janvier'!$D$7:$D$9)</totalsRowFormula>
    </tableColumn>
    <tableColumn id="16" xr3:uid="{00000000-0010-0000-0700-000010000000}" name="15" totalsRowFunction="custom" dataDxfId="436" totalsRowDxfId="435">
      <totalsRowFormula>SUBTOTAL(103,'2020-Janvier'!$E$7:$E$9)</totalsRowFormula>
    </tableColumn>
    <tableColumn id="17" xr3:uid="{00000000-0010-0000-0700-000011000000}" name="16" totalsRowFunction="count" dataDxfId="434" totalsRowDxfId="433"/>
    <tableColumn id="18" xr3:uid="{00000000-0010-0000-0700-000012000000}" name="17" totalsRowFunction="count" dataDxfId="432" totalsRowDxfId="431"/>
    <tableColumn id="19" xr3:uid="{00000000-0010-0000-0700-000013000000}" name="18" totalsRowFunction="count" dataDxfId="430" totalsRowDxfId="429"/>
    <tableColumn id="20" xr3:uid="{00000000-0010-0000-0700-000014000000}" name="19" totalsRowFunction="count" dataDxfId="428" totalsRowDxfId="427"/>
    <tableColumn id="21" xr3:uid="{00000000-0010-0000-0700-000015000000}" name="20" totalsRowFunction="count" dataDxfId="426" totalsRowDxfId="425"/>
    <tableColumn id="22" xr3:uid="{00000000-0010-0000-0700-000016000000}" name="21" totalsRowFunction="custom" dataDxfId="424" totalsRowDxfId="423">
      <totalsRowFormula>SUBTOTAL(103,'2020-Janvier'!$D$7:$D$9)</totalsRowFormula>
    </tableColumn>
    <tableColumn id="23" xr3:uid="{00000000-0010-0000-0700-000017000000}" name="22" totalsRowFunction="custom" dataDxfId="422" totalsRowDxfId="421">
      <totalsRowFormula>SUBTOTAL(103,'2020-Janvier'!$E$7:$E$9)</totalsRowFormula>
    </tableColumn>
    <tableColumn id="24" xr3:uid="{00000000-0010-0000-0700-000018000000}" name="23" totalsRowFunction="count" dataDxfId="420" totalsRowDxfId="419"/>
    <tableColumn id="25" xr3:uid="{00000000-0010-0000-0700-000019000000}" name="24" totalsRowFunction="count" dataDxfId="418" totalsRowDxfId="417"/>
    <tableColumn id="26" xr3:uid="{00000000-0010-0000-0700-00001A000000}" name="25" totalsRowFunction="count" dataDxfId="416" totalsRowDxfId="415"/>
    <tableColumn id="27" xr3:uid="{00000000-0010-0000-0700-00001B000000}" name="26" totalsRowFunction="count" dataDxfId="414" totalsRowDxfId="413"/>
    <tableColumn id="28" xr3:uid="{00000000-0010-0000-0700-00001C000000}" name="27" totalsRowFunction="count" dataDxfId="412" totalsRowDxfId="411"/>
    <tableColumn id="29" xr3:uid="{00000000-0010-0000-0700-00001D000000}" name="28" totalsRowFunction="custom" dataDxfId="410" totalsRowDxfId="409">
      <totalsRowFormula>SUBTOTAL(103,'2020-Janvier'!$D$7:$D$9)</totalsRowFormula>
    </tableColumn>
    <tableColumn id="30" xr3:uid="{00000000-0010-0000-0700-00001E000000}" name="29" totalsRowFunction="custom" dataDxfId="408" totalsRowDxfId="407">
      <totalsRowFormula>SUBTOTAL(103,'2020-Janvier'!$E$7:$E$9)</totalsRowFormula>
    </tableColumn>
    <tableColumn id="31" xr3:uid="{00000000-0010-0000-0700-00001F000000}" name="30" totalsRowFunction="count" dataDxfId="406" totalsRowDxfId="405"/>
    <tableColumn id="32" xr3:uid="{00000000-0010-0000-0700-000020000000}" name="31" totalsRowFunction="count" dataDxfId="404" totalsRowDxfId="403"/>
    <tableColumn id="33" xr3:uid="{00000000-0010-0000-0700-000021000000}" name="Total des jours" totalsRowFunction="sum" dataDxfId="402" totalsRowDxfId="401">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0" totalsRowCount="1" headerRowDxfId="397" dataDxfId="396" totalsRowDxfId="395">
  <tableColumns count="33">
    <tableColumn id="1" xr3:uid="{00000000-0010-0000-0800-000001000000}" name="Nom de l’employé" totalsRowFunction="custom" dataDxfId="394" totalsRowDxfId="393" dataCellStyle="Employé">
      <totalsRowFormula>NomMois&amp;" Total"</totalsRowFormula>
    </tableColumn>
    <tableColumn id="2" xr3:uid="{00000000-0010-0000-0800-000002000000}" name="1" totalsRowFunction="count" dataDxfId="392" totalsRowDxfId="391"/>
    <tableColumn id="3" xr3:uid="{00000000-0010-0000-0800-000003000000}" name="2" totalsRowFunction="count" dataDxfId="390" totalsRowDxfId="389"/>
    <tableColumn id="4" xr3:uid="{00000000-0010-0000-0800-000004000000}" name="3" totalsRowFunction="count" dataDxfId="388" totalsRowDxfId="387"/>
    <tableColumn id="5" xr3:uid="{00000000-0010-0000-0800-000005000000}" name="4" totalsRowFunction="custom" dataDxfId="386" totalsRowDxfId="385">
      <totalsRowFormula>SUBTOTAL(103,'2020-Janvier'!$D$7:$D$9)</totalsRowFormula>
    </tableColumn>
    <tableColumn id="6" xr3:uid="{00000000-0010-0000-0800-000006000000}" name="5" totalsRowFunction="custom" dataDxfId="384" totalsRowDxfId="383">
      <totalsRowFormula>SUBTOTAL(103,'2020-Janvier'!$E$7:$E$9)</totalsRowFormula>
    </tableColumn>
    <tableColumn id="7" xr3:uid="{00000000-0010-0000-0800-000007000000}" name="6" totalsRowFunction="count" dataDxfId="382" totalsRowDxfId="381"/>
    <tableColumn id="8" xr3:uid="{00000000-0010-0000-0800-000008000000}" name="7" totalsRowFunction="count" dataDxfId="380" totalsRowDxfId="379"/>
    <tableColumn id="9" xr3:uid="{00000000-0010-0000-0800-000009000000}" name="8" totalsRowFunction="count" dataDxfId="378" totalsRowDxfId="377"/>
    <tableColumn id="10" xr3:uid="{00000000-0010-0000-0800-00000A000000}" name="9" totalsRowFunction="count" dataDxfId="376" totalsRowDxfId="375"/>
    <tableColumn id="11" xr3:uid="{00000000-0010-0000-0800-00000B000000}" name="10" totalsRowFunction="count" dataDxfId="374" totalsRowDxfId="373"/>
    <tableColumn id="12" xr3:uid="{00000000-0010-0000-0800-00000C000000}" name="11" totalsRowFunction="custom" dataDxfId="372" totalsRowDxfId="371">
      <totalsRowFormula>SUBTOTAL(103,'2020-Janvier'!$D$7:$D$9)</totalsRowFormula>
    </tableColumn>
    <tableColumn id="13" xr3:uid="{00000000-0010-0000-0800-00000D000000}" name="12" totalsRowFunction="custom" dataDxfId="370" totalsRowDxfId="369">
      <totalsRowFormula>SUBTOTAL(103,'2020-Janvier'!$E$7:$E$9)</totalsRowFormula>
    </tableColumn>
    <tableColumn id="14" xr3:uid="{00000000-0010-0000-0800-00000E000000}" name="13" totalsRowFunction="count" dataDxfId="368" totalsRowDxfId="367"/>
    <tableColumn id="15" xr3:uid="{00000000-0010-0000-0800-00000F000000}" name="14" totalsRowFunction="count" dataDxfId="366" totalsRowDxfId="365"/>
    <tableColumn id="16" xr3:uid="{00000000-0010-0000-0800-000010000000}" name="15" totalsRowFunction="count" dataDxfId="364" totalsRowDxfId="363"/>
    <tableColumn id="17" xr3:uid="{00000000-0010-0000-0800-000011000000}" name="16" totalsRowFunction="count" dataDxfId="362" totalsRowDxfId="361"/>
    <tableColumn id="18" xr3:uid="{00000000-0010-0000-0800-000012000000}" name="17" totalsRowFunction="count" dataDxfId="360" totalsRowDxfId="359"/>
    <tableColumn id="19" xr3:uid="{00000000-0010-0000-0800-000013000000}" name="18" totalsRowFunction="custom" dataDxfId="358" totalsRowDxfId="357">
      <totalsRowFormula>SUBTOTAL(103,'2020-Janvier'!$D$7:$D$9)</totalsRowFormula>
    </tableColumn>
    <tableColumn id="20" xr3:uid="{00000000-0010-0000-0800-000014000000}" name="19" totalsRowFunction="custom" dataDxfId="356" totalsRowDxfId="355">
      <totalsRowFormula>SUBTOTAL(103,'2020-Janvier'!$E$7:$E$9)</totalsRowFormula>
    </tableColumn>
    <tableColumn id="21" xr3:uid="{00000000-0010-0000-0800-000015000000}" name="20" totalsRowFunction="count" dataDxfId="354" totalsRowDxfId="353"/>
    <tableColumn id="22" xr3:uid="{00000000-0010-0000-0800-000016000000}" name="21" totalsRowFunction="count" dataDxfId="352" totalsRowDxfId="351"/>
    <tableColumn id="23" xr3:uid="{00000000-0010-0000-0800-000017000000}" name="22" totalsRowFunction="count" dataDxfId="350" totalsRowDxfId="349"/>
    <tableColumn id="24" xr3:uid="{00000000-0010-0000-0800-000018000000}" name="23" totalsRowFunction="count" dataDxfId="348" totalsRowDxfId="347"/>
    <tableColumn id="25" xr3:uid="{00000000-0010-0000-0800-000019000000}" name="24" totalsRowFunction="count" dataDxfId="346" totalsRowDxfId="345"/>
    <tableColumn id="26" xr3:uid="{00000000-0010-0000-0800-00001A000000}" name="25" totalsRowFunction="custom" dataDxfId="344" totalsRowDxfId="343">
      <totalsRowFormula>SUBTOTAL(103,'2020-Janvier'!$D$7:$D$9)</totalsRowFormula>
    </tableColumn>
    <tableColumn id="27" xr3:uid="{00000000-0010-0000-0800-00001B000000}" name="26" totalsRowFunction="custom" dataDxfId="342" totalsRowDxfId="341">
      <totalsRowFormula>SUBTOTAL(103,'2020-Janvier'!$E$7:$E$9)</totalsRowFormula>
    </tableColumn>
    <tableColumn id="28" xr3:uid="{00000000-0010-0000-0800-00001C000000}" name="27" totalsRowFunction="count" dataDxfId="340" totalsRowDxfId="339"/>
    <tableColumn id="29" xr3:uid="{00000000-0010-0000-0800-00001D000000}" name="28" totalsRowFunction="count" dataDxfId="338" totalsRowDxfId="337"/>
    <tableColumn id="30" xr3:uid="{00000000-0010-0000-0800-00001E000000}" name="29" totalsRowFunction="count" dataDxfId="336" totalsRowDxfId="335"/>
    <tableColumn id="31" xr3:uid="{00000000-0010-0000-0800-00001F000000}" name="30" totalsRowFunction="count" dataDxfId="334" totalsRowDxfId="333"/>
    <tableColumn id="32" xr3:uid="{00000000-0010-0000-0800-000020000000}" name=" " totalsRowFunction="count" dataDxfId="332" totalsRowDxfId="331"/>
    <tableColumn id="33" xr3:uid="{00000000-0010-0000-0800-000021000000}" name="Total des jours" totalsRowFunction="sum" dataDxfId="330" totalsRowDxfId="329">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0" totalsRowCount="1" headerRowDxfId="289" dataDxfId="288" totalsRowDxfId="287">
  <tableColumns count="33">
    <tableColumn id="1" xr3:uid="{00000000-0010-0000-0900-000001000000}" name="Nom de l’employé" totalsRowFunction="custom" dataDxfId="286" totalsRowDxfId="285" dataCellStyle="Employé">
      <totalsRowFormula>NomMois&amp;" Total"</totalsRowFormula>
    </tableColumn>
    <tableColumn id="2" xr3:uid="{00000000-0010-0000-0900-000002000000}" name="1" totalsRowFunction="count" dataDxfId="284" totalsRowDxfId="283"/>
    <tableColumn id="3" xr3:uid="{00000000-0010-0000-0900-000003000000}" name="2" totalsRowFunction="custom" dataDxfId="282" totalsRowDxfId="281">
      <totalsRowFormula>SUBTOTAL(103,Octobre[5])</totalsRowFormula>
    </tableColumn>
    <tableColumn id="4" xr3:uid="{00000000-0010-0000-0900-000004000000}" name="3" totalsRowFunction="custom" dataDxfId="280" totalsRowDxfId="279">
      <totalsRowFormula>SUBTOTAL(103,'2020-Janvier'!$E$7:$E$9)</totalsRowFormula>
    </tableColumn>
    <tableColumn id="5" xr3:uid="{00000000-0010-0000-0900-000005000000}" name="4" totalsRowFunction="custom" dataDxfId="278" totalsRowDxfId="277">
      <totalsRowFormula>SUBTOTAL(103,'2020-Janvier'!$E$7:$E$9)</totalsRowFormula>
    </tableColumn>
    <tableColumn id="6" xr3:uid="{00000000-0010-0000-0900-000006000000}" name="5" totalsRowFunction="count" dataDxfId="276" totalsRowDxfId="275"/>
    <tableColumn id="7" xr3:uid="{00000000-0010-0000-0900-000007000000}" name="6" totalsRowFunction="count" dataDxfId="274" totalsRowDxfId="273"/>
    <tableColumn id="8" xr3:uid="{00000000-0010-0000-0900-000008000000}" name="7" totalsRowFunction="count" dataDxfId="272" totalsRowDxfId="271"/>
    <tableColumn id="9" xr3:uid="{00000000-0010-0000-0900-000009000000}" name="8" totalsRowFunction="count" dataDxfId="270" totalsRowDxfId="269"/>
    <tableColumn id="10" xr3:uid="{00000000-0010-0000-0900-00000A000000}" name="9" totalsRowFunction="custom" dataDxfId="268" totalsRowDxfId="267">
      <totalsRowFormula>SUBTOTAL(103,Octobre[5])</totalsRowFormula>
    </tableColumn>
    <tableColumn id="11" xr3:uid="{00000000-0010-0000-0900-00000B000000}" name="10" totalsRowFunction="custom" dataDxfId="266" totalsRowDxfId="265">
      <totalsRowFormula>SUBTOTAL(103,'2020-Janvier'!$E$7:$E$9)</totalsRowFormula>
    </tableColumn>
    <tableColumn id="12" xr3:uid="{00000000-0010-0000-0900-00000C000000}" name="11" totalsRowFunction="custom" dataDxfId="264" totalsRowDxfId="263">
      <totalsRowFormula>SUBTOTAL(103,'2020-Janvier'!$E$7:$E$9)</totalsRowFormula>
    </tableColumn>
    <tableColumn id="13" xr3:uid="{00000000-0010-0000-0900-00000D000000}" name="12" totalsRowFunction="count" dataDxfId="262" totalsRowDxfId="261"/>
    <tableColumn id="14" xr3:uid="{00000000-0010-0000-0900-00000E000000}" name="13" totalsRowFunction="count" dataDxfId="260" totalsRowDxfId="259"/>
    <tableColumn id="15" xr3:uid="{00000000-0010-0000-0900-00000F000000}" name="14" totalsRowFunction="count" dataDxfId="258" totalsRowDxfId="257"/>
    <tableColumn id="16" xr3:uid="{00000000-0010-0000-0900-000010000000}" name="15" totalsRowFunction="count" dataDxfId="256" totalsRowDxfId="255"/>
    <tableColumn id="17" xr3:uid="{00000000-0010-0000-0900-000011000000}" name="16" totalsRowFunction="custom" dataDxfId="254" totalsRowDxfId="253">
      <totalsRowFormula>SUBTOTAL(103,Octobre[5])</totalsRowFormula>
    </tableColumn>
    <tableColumn id="18" xr3:uid="{00000000-0010-0000-0900-000012000000}" name="17" totalsRowFunction="custom" dataDxfId="252" totalsRowDxfId="251">
      <totalsRowFormula>SUBTOTAL(103,'2020-Janvier'!$E$7:$E$9)</totalsRowFormula>
    </tableColumn>
    <tableColumn id="19" xr3:uid="{00000000-0010-0000-0900-000013000000}" name="18" totalsRowFunction="custom" dataDxfId="250" totalsRowDxfId="249">
      <totalsRowFormula>SUBTOTAL(103,'2020-Janvier'!$E$7:$E$9)</totalsRowFormula>
    </tableColumn>
    <tableColumn id="20" xr3:uid="{00000000-0010-0000-0900-000014000000}" name="19" totalsRowFunction="count" dataDxfId="248" totalsRowDxfId="247"/>
    <tableColumn id="21" xr3:uid="{00000000-0010-0000-0900-000015000000}" name="20" totalsRowFunction="count" dataDxfId="246" totalsRowDxfId="245"/>
    <tableColumn id="22" xr3:uid="{00000000-0010-0000-0900-000016000000}" name="21" totalsRowFunction="count" dataDxfId="244" totalsRowDxfId="243"/>
    <tableColumn id="23" xr3:uid="{00000000-0010-0000-0900-000017000000}" name="22" totalsRowFunction="count" dataDxfId="242" totalsRowDxfId="241"/>
    <tableColumn id="24" xr3:uid="{00000000-0010-0000-0900-000018000000}" name="23" totalsRowFunction="count" dataDxfId="240" totalsRowDxfId="239"/>
    <tableColumn id="25" xr3:uid="{00000000-0010-0000-0900-000019000000}" name="24" totalsRowFunction="custom" dataDxfId="238" totalsRowDxfId="237">
      <totalsRowFormula>SUBTOTAL(103,'2020-Janvier'!$E$7:$E$9)</totalsRowFormula>
    </tableColumn>
    <tableColumn id="26" xr3:uid="{00000000-0010-0000-0900-00001A000000}" name="25" totalsRowFunction="custom" dataDxfId="236" totalsRowDxfId="235">
      <totalsRowFormula>SUBTOTAL(103,'2020-Janvier'!$E$7:$E$9)</totalsRowFormula>
    </tableColumn>
    <tableColumn id="27" xr3:uid="{00000000-0010-0000-0900-00001B000000}" name="26" totalsRowFunction="count" dataDxfId="234" totalsRowDxfId="233"/>
    <tableColumn id="28" xr3:uid="{00000000-0010-0000-0900-00001C000000}" name="27" totalsRowFunction="count" dataDxfId="232" totalsRowDxfId="231"/>
    <tableColumn id="29" xr3:uid="{00000000-0010-0000-0900-00001D000000}" name="28" totalsRowFunction="count" dataDxfId="230" totalsRowDxfId="229"/>
    <tableColumn id="30" xr3:uid="{00000000-0010-0000-0900-00001E000000}" name="29" totalsRowFunction="count" dataDxfId="228" totalsRowDxfId="227"/>
    <tableColumn id="31" xr3:uid="{00000000-0010-0000-0900-00001F000000}" name="30" totalsRowFunction="custom" dataDxfId="226" totalsRowDxfId="225">
      <totalsRowFormula>SUBTOTAL(103,Octobre[28])</totalsRowFormula>
    </tableColumn>
    <tableColumn id="32" xr3:uid="{00000000-0010-0000-0900-000020000000}" name="31" totalsRowFunction="custom" dataDxfId="224" totalsRowDxfId="223">
      <totalsRowFormula>SUBTOTAL(103,'2020-Janvier'!$E$7:$E$9)</totalsRowFormula>
    </tableColumn>
    <tableColumn id="33" xr3:uid="{00000000-0010-0000-0900-000021000000}" name="Total des jours" totalsRowFunction="sum" dataDxfId="222" totalsRowDxfId="221">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0" totalsRowCount="1" headerRowDxfId="184" dataDxfId="183" totalsRowDxfId="182">
  <tableColumns count="33">
    <tableColumn id="1" xr3:uid="{00000000-0010-0000-0A00-000001000000}" name="Nom de l’employé" totalsRowFunction="custom" dataDxfId="181" totalsRowDxfId="180" dataCellStyle="Employé">
      <totalsRowFormula>NomMois&amp;" Total"</totalsRowFormula>
    </tableColumn>
    <tableColumn id="2" xr3:uid="{00000000-0010-0000-0A00-000002000000}" name="1" totalsRowFunction="custom" dataDxfId="179" totalsRowDxfId="178">
      <totalsRowFormula>SUBTOTAL(103,'2020-Janvier'!$E$7:$E$9)</totalsRowFormula>
    </tableColumn>
    <tableColumn id="3" xr3:uid="{00000000-0010-0000-0A00-000003000000}" name="2" totalsRowFunction="count" dataDxfId="177" totalsRowDxfId="176"/>
    <tableColumn id="4" xr3:uid="{00000000-0010-0000-0A00-000004000000}" name="3" totalsRowFunction="count" dataDxfId="175" totalsRowDxfId="174"/>
    <tableColumn id="5" xr3:uid="{00000000-0010-0000-0A00-000005000000}" name="4" totalsRowFunction="count" dataDxfId="173" totalsRowDxfId="172"/>
    <tableColumn id="6" xr3:uid="{00000000-0010-0000-0A00-000006000000}" name="5" totalsRowFunction="count" dataDxfId="171" totalsRowDxfId="170"/>
    <tableColumn id="7" xr3:uid="{00000000-0010-0000-0A00-000007000000}" name="6" totalsRowFunction="custom" dataDxfId="169" totalsRowDxfId="168">
      <totalsRowFormula>SUBTOTAL(103,Novembre[5])</totalsRowFormula>
    </tableColumn>
    <tableColumn id="8" xr3:uid="{00000000-0010-0000-0A00-000008000000}" name="7" totalsRowFunction="custom" dataDxfId="167" totalsRowDxfId="166">
      <totalsRowFormula>SUBTOTAL(103,'2020-Janvier'!$E$7:$E$9)</totalsRowFormula>
    </tableColumn>
    <tableColumn id="9" xr3:uid="{00000000-0010-0000-0A00-000009000000}" name="8" totalsRowFunction="custom" dataDxfId="165" totalsRowDxfId="164">
      <totalsRowFormula>SUBTOTAL(103,'2020-Janvier'!$E$7:$E$9)</totalsRowFormula>
    </tableColumn>
    <tableColumn id="10" xr3:uid="{00000000-0010-0000-0A00-00000A000000}" name="9" totalsRowFunction="count" dataDxfId="163" totalsRowDxfId="162"/>
    <tableColumn id="11" xr3:uid="{00000000-0010-0000-0A00-00000B000000}" name="10" totalsRowFunction="count" dataDxfId="161" totalsRowDxfId="160"/>
    <tableColumn id="12" xr3:uid="{00000000-0010-0000-0A00-00000C000000}" name="11" totalsRowFunction="custom" dataDxfId="159" totalsRowDxfId="158">
      <totalsRowFormula>SUBTOTAL(103,'2020-Janvier'!$E$7:$E$9)</totalsRowFormula>
    </tableColumn>
    <tableColumn id="13" xr3:uid="{00000000-0010-0000-0A00-00000D000000}" name="12" totalsRowFunction="count" dataDxfId="157" totalsRowDxfId="156"/>
    <tableColumn id="14" xr3:uid="{00000000-0010-0000-0A00-00000E000000}" name="13" totalsRowFunction="custom" dataDxfId="155" totalsRowDxfId="154">
      <totalsRowFormula>SUBTOTAL(103,Novembre[5])</totalsRowFormula>
    </tableColumn>
    <tableColumn id="15" xr3:uid="{00000000-0010-0000-0A00-00000F000000}" name="14" totalsRowFunction="custom" dataDxfId="153" totalsRowDxfId="152">
      <totalsRowFormula>SUBTOTAL(103,'2020-Janvier'!$E$7:$E$9)</totalsRowFormula>
    </tableColumn>
    <tableColumn id="16" xr3:uid="{00000000-0010-0000-0A00-000010000000}" name="15" totalsRowFunction="custom" dataDxfId="151" totalsRowDxfId="150">
      <totalsRowFormula>SUBTOTAL(103,'2020-Janvier'!$E$7:$E$9)</totalsRowFormula>
    </tableColumn>
    <tableColumn id="17" xr3:uid="{00000000-0010-0000-0A00-000011000000}" name="16" totalsRowFunction="count" dataDxfId="149" totalsRowDxfId="148"/>
    <tableColumn id="18" xr3:uid="{00000000-0010-0000-0A00-000012000000}" name="17" totalsRowFunction="count" dataDxfId="147" totalsRowDxfId="146"/>
    <tableColumn id="19" xr3:uid="{00000000-0010-0000-0A00-000013000000}" name="18" totalsRowFunction="count" dataDxfId="145" totalsRowDxfId="144"/>
    <tableColumn id="20" xr3:uid="{00000000-0010-0000-0A00-000014000000}" name="19" totalsRowFunction="count" dataDxfId="143" totalsRowDxfId="142"/>
    <tableColumn id="21" xr3:uid="{00000000-0010-0000-0A00-000015000000}" name="20" totalsRowFunction="custom" dataDxfId="141" totalsRowDxfId="140">
      <totalsRowFormula>SUBTOTAL(103,Novembre[5])</totalsRowFormula>
    </tableColumn>
    <tableColumn id="22" xr3:uid="{00000000-0010-0000-0A00-000016000000}" name="21" totalsRowFunction="custom" dataDxfId="139" totalsRowDxfId="138">
      <totalsRowFormula>SUBTOTAL(103,'2020-Janvier'!$E$7:$E$9)</totalsRowFormula>
    </tableColumn>
    <tableColumn id="23" xr3:uid="{00000000-0010-0000-0A00-000017000000}" name="22" totalsRowFunction="custom" dataDxfId="137" totalsRowDxfId="136">
      <totalsRowFormula>SUBTOTAL(103,'2020-Janvier'!$E$7:$E$9)</totalsRowFormula>
    </tableColumn>
    <tableColumn id="24" xr3:uid="{00000000-0010-0000-0A00-000018000000}" name="23" totalsRowFunction="count" dataDxfId="135" totalsRowDxfId="134"/>
    <tableColumn id="25" xr3:uid="{00000000-0010-0000-0A00-000019000000}" name="24" totalsRowFunction="count" dataDxfId="133" totalsRowDxfId="132"/>
    <tableColumn id="26" xr3:uid="{00000000-0010-0000-0A00-00001A000000}" name="25" totalsRowFunction="count" dataDxfId="131" totalsRowDxfId="130"/>
    <tableColumn id="27" xr3:uid="{00000000-0010-0000-0A00-00001B000000}" name="26" totalsRowFunction="count" dataDxfId="129" totalsRowDxfId="128"/>
    <tableColumn id="28" xr3:uid="{00000000-0010-0000-0A00-00001C000000}" name="27" totalsRowFunction="custom" dataDxfId="127" totalsRowDxfId="126">
      <totalsRowFormula>SUBTOTAL(103,Novembre[5])</totalsRowFormula>
    </tableColumn>
    <tableColumn id="29" xr3:uid="{00000000-0010-0000-0A00-00001D000000}" name="28" totalsRowFunction="custom" dataDxfId="125" totalsRowDxfId="124">
      <totalsRowFormula>SUBTOTAL(103,'2020-Janvier'!$E$7:$E$9)</totalsRowFormula>
    </tableColumn>
    <tableColumn id="30" xr3:uid="{00000000-0010-0000-0A00-00001E000000}" name="29" totalsRowFunction="custom" dataDxfId="123" totalsRowDxfId="122">
      <totalsRowFormula>SUBTOTAL(103,'2020-Janvier'!$E$7:$E$9)</totalsRowFormula>
    </tableColumn>
    <tableColumn id="31" xr3:uid="{00000000-0010-0000-0A00-00001F000000}" name="30" totalsRowFunction="count" dataDxfId="121" totalsRowDxfId="120"/>
    <tableColumn id="32" xr3:uid="{00000000-0010-0000-0A00-000020000000}" name=" " totalsRowFunction="count" dataDxfId="119" totalsRowDxfId="118"/>
    <tableColumn id="33" xr3:uid="{00000000-0010-0000-0A00-000021000000}" name="Total des jours" totalsRowFunction="sum" dataDxfId="117" totalsRowDxfId="116">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0" totalsRowCount="1" headerRowDxfId="73" dataDxfId="72" totalsRowDxfId="71">
  <tableColumns count="33">
    <tableColumn id="1" xr3:uid="{00000000-0010-0000-0B00-000001000000}" name="Nom de l’employé" totalsRowFunction="custom" dataDxfId="70" totalsRowDxfId="69" dataCellStyle="Employé">
      <totalsRowFormula>NomMois&amp;" Total"</totalsRowFormula>
    </tableColumn>
    <tableColumn id="2" xr3:uid="{00000000-0010-0000-0B00-000002000000}" name="1" totalsRowFunction="count" dataDxfId="68" totalsRowDxfId="67"/>
    <tableColumn id="3" xr3:uid="{00000000-0010-0000-0B00-000003000000}" name="2" totalsRowFunction="count" dataDxfId="66" totalsRowDxfId="65"/>
    <tableColumn id="4" xr3:uid="{00000000-0010-0000-0B00-000004000000}" name="3" totalsRowFunction="count" dataDxfId="64" totalsRowDxfId="63"/>
    <tableColumn id="5" xr3:uid="{00000000-0010-0000-0B00-000005000000}" name="4" totalsRowFunction="custom" dataDxfId="62" totalsRowDxfId="61">
      <totalsRowFormula>SUBTOTAL(103,Novembre[5])</totalsRowFormula>
    </tableColumn>
    <tableColumn id="6" xr3:uid="{00000000-0010-0000-0B00-000006000000}" name="5" totalsRowFunction="custom" dataDxfId="60" totalsRowDxfId="59">
      <totalsRowFormula>SUBTOTAL(103,'2020-Janvier'!$E$7:$E$9)</totalsRowFormula>
    </tableColumn>
    <tableColumn id="7" xr3:uid="{00000000-0010-0000-0B00-000007000000}" name="6" totalsRowFunction="custom" dataDxfId="58" totalsRowDxfId="57">
      <totalsRowFormula>SUBTOTAL(103,'2020-Janvier'!$E$7:$E$9)</totalsRowFormula>
    </tableColumn>
    <tableColumn id="8" xr3:uid="{00000000-0010-0000-0B00-000008000000}" name="7" totalsRowFunction="count" dataDxfId="56" totalsRowDxfId="55"/>
    <tableColumn id="9" xr3:uid="{00000000-0010-0000-0B00-000009000000}" name="8" totalsRowFunction="count" dataDxfId="54" totalsRowDxfId="53"/>
    <tableColumn id="10" xr3:uid="{00000000-0010-0000-0B00-00000A000000}" name="9" totalsRowFunction="count" dataDxfId="52" totalsRowDxfId="51"/>
    <tableColumn id="11" xr3:uid="{00000000-0010-0000-0B00-00000B000000}" name="10" totalsRowFunction="count" dataDxfId="50" totalsRowDxfId="49"/>
    <tableColumn id="12" xr3:uid="{00000000-0010-0000-0B00-00000C000000}" name="11" totalsRowFunction="custom" dataDxfId="48" totalsRowDxfId="47">
      <totalsRowFormula>SUBTOTAL(103,Novembre[5])</totalsRowFormula>
    </tableColumn>
    <tableColumn id="13" xr3:uid="{00000000-0010-0000-0B00-00000D000000}" name="12" totalsRowFunction="custom" dataDxfId="46" totalsRowDxfId="45">
      <totalsRowFormula>SUBTOTAL(103,'2020-Janvier'!$E$7:$E$9)</totalsRowFormula>
    </tableColumn>
    <tableColumn id="14" xr3:uid="{00000000-0010-0000-0B00-00000E000000}" name="13" totalsRowFunction="custom" dataDxfId="44" totalsRowDxfId="43">
      <totalsRowFormula>SUBTOTAL(103,'2020-Janvier'!$E$7:$E$9)</totalsRowFormula>
    </tableColumn>
    <tableColumn id="15" xr3:uid="{00000000-0010-0000-0B00-00000F000000}" name="14" totalsRowFunction="count" dataDxfId="42" totalsRowDxfId="41"/>
    <tableColumn id="16" xr3:uid="{00000000-0010-0000-0B00-000010000000}" name="15" totalsRowFunction="count" dataDxfId="40" totalsRowDxfId="39"/>
    <tableColumn id="17" xr3:uid="{00000000-0010-0000-0B00-000011000000}" name="16" totalsRowFunction="count" dataDxfId="38" totalsRowDxfId="37"/>
    <tableColumn id="18" xr3:uid="{00000000-0010-0000-0B00-000012000000}" name="17" totalsRowFunction="count" dataDxfId="36" totalsRowDxfId="35"/>
    <tableColumn id="19" xr3:uid="{00000000-0010-0000-0B00-000013000000}" name="18" totalsRowFunction="custom" dataDxfId="34" totalsRowDxfId="33">
      <totalsRowFormula>SUBTOTAL(103,Novembre[5])</totalsRowFormula>
    </tableColumn>
    <tableColumn id="20" xr3:uid="{00000000-0010-0000-0B00-000014000000}" name="19" totalsRowFunction="custom" dataDxfId="32" totalsRowDxfId="31">
      <totalsRowFormula>SUBTOTAL(103,'2020-Janvier'!$E$7:$E$9)</totalsRowFormula>
    </tableColumn>
    <tableColumn id="21" xr3:uid="{00000000-0010-0000-0B00-000015000000}" name="20" totalsRowFunction="custom" dataDxfId="30" totalsRowDxfId="29">
      <totalsRowFormula>SUBTOTAL(103,'2020-Janvier'!$E$7:$E$9)</totalsRowFormula>
    </tableColumn>
    <tableColumn id="22" xr3:uid="{00000000-0010-0000-0B00-000016000000}" name="21" totalsRowFunction="count" dataDxfId="28" totalsRowDxfId="27"/>
    <tableColumn id="23" xr3:uid="{00000000-0010-0000-0B00-000017000000}" name="22" totalsRowFunction="count" dataDxfId="26" totalsRowDxfId="25"/>
    <tableColumn id="24" xr3:uid="{00000000-0010-0000-0B00-000018000000}" name="23" totalsRowFunction="count" dataDxfId="24" totalsRowDxfId="23"/>
    <tableColumn id="25" xr3:uid="{00000000-0010-0000-0B00-000019000000}" name="24" totalsRowFunction="custom" dataDxfId="22" totalsRowDxfId="21">
      <totalsRowFormula>SUBTOTAL(103,Décembre[23])</totalsRowFormula>
    </tableColumn>
    <tableColumn id="26" xr3:uid="{00000000-0010-0000-0B00-00001A000000}" name="25" totalsRowFunction="custom" dataDxfId="20" totalsRowDxfId="19">
      <totalsRowFormula>SUBTOTAL(103,'2020-Janvier'!$D$7:$D$9)</totalsRowFormula>
    </tableColumn>
    <tableColumn id="27" xr3:uid="{00000000-0010-0000-0B00-00001B000000}" name="26" totalsRowFunction="custom" dataDxfId="18" totalsRowDxfId="17">
      <totalsRowFormula>SUBTOTAL(103,'2020-Janvier'!$E$7:$E$9)</totalsRowFormula>
    </tableColumn>
    <tableColumn id="28" xr3:uid="{00000000-0010-0000-0B00-00001C000000}" name="27" totalsRowFunction="custom" dataDxfId="16" totalsRowDxfId="15">
      <totalsRowFormula>SUBTOTAL(103,'2020-Janvier'!$E$7:$E$9)</totalsRowFormula>
    </tableColumn>
    <tableColumn id="29" xr3:uid="{00000000-0010-0000-0B00-00001D000000}" name="28" totalsRowFunction="count" dataDxfId="14" totalsRowDxfId="13"/>
    <tableColumn id="30" xr3:uid="{00000000-0010-0000-0B00-00001E000000}" name="29" totalsRowFunction="count" dataDxfId="12" totalsRowDxfId="11"/>
    <tableColumn id="31" xr3:uid="{00000000-0010-0000-0B00-00001F000000}" name="30" totalsRowFunction="count" dataDxfId="10" totalsRowDxfId="9"/>
    <tableColumn id="32" xr3:uid="{00000000-0010-0000-0B00-000020000000}" name="31" totalsRowFunction="count" dataDxfId="8" totalsRowDxfId="7"/>
    <tableColumn id="33" xr3:uid="{00000000-0010-0000-0B00-000021000000}" name="Total des jours" totalsRowFunction="sum" dataDxfId="6" totalsRowDxfId="5">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6" headerRowDxfId="4" dataDxfId="3" totalsRowDxfId="2">
  <autoFilter ref="B3:B6" xr:uid="{00000000-0009-0000-0100-00000D000000}"/>
  <tableColumns count="1">
    <tableColumn id="1" xr3:uid="{00000000-0010-0000-0C00-000001000000}" name="Noms" totalsRowFunction="count" dataDxfId="1" totalsRowDxfId="0"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Bleu chaud">
      <a:dk1>
        <a:sysClr val="windowText" lastClr="000000"/>
      </a:dk1>
      <a:lt1>
        <a:sysClr val="window" lastClr="FFFFFF"/>
      </a:lt1>
      <a:dk2>
        <a:srgbClr val="242852"/>
      </a:dk2>
      <a:lt2>
        <a:srgbClr val="ACCBF9"/>
      </a:lt2>
      <a:accent1>
        <a:srgbClr val="4A66AC"/>
      </a:accent1>
      <a:accent2>
        <a:srgbClr val="629DD1"/>
      </a:accent2>
      <a:accent3>
        <a:srgbClr val="297FD5"/>
      </a:accent3>
      <a:accent4>
        <a:srgbClr val="7F8FA9"/>
      </a:accent4>
      <a:accent5>
        <a:srgbClr val="5AA2AE"/>
      </a:accent5>
      <a:accent6>
        <a:srgbClr val="9D90A0"/>
      </a:accent6>
      <a:hlink>
        <a:srgbClr val="9454C3"/>
      </a:hlink>
      <a:folHlink>
        <a:srgbClr val="3EBBF0"/>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table" Target="../tables/table11.xml"/><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2" tint="-0.89999084444715716"/>
  </sheetPr>
  <dimension ref="A1:AH13"/>
  <sheetViews>
    <sheetView showGridLines="0" zoomScaleNormal="100" workbookViewId="0">
      <selection activeCell="W20" sqref="W20"/>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61</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0</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v>2020</v>
      </c>
    </row>
    <row r="5" spans="1:34" ht="15" customHeight="1" x14ac:dyDescent="0.25">
      <c r="B5" s="14"/>
      <c r="C5" s="15" t="str">
        <f>TEXT(WEEKDAY(DATE(AnnéeCalendrier,1,1),1),"jjj")</f>
        <v>mer</v>
      </c>
      <c r="D5" s="15" t="str">
        <f>TEXT(WEEKDAY(DATE(AnnéeCalendrier,1,2),1),"jjj")</f>
        <v>jeu</v>
      </c>
      <c r="E5" s="15" t="str">
        <f>TEXT(WEEKDAY(DATE(AnnéeCalendrier,1,3),1),"jjj")</f>
        <v>ven</v>
      </c>
      <c r="F5" s="15" t="str">
        <f>TEXT(WEEKDAY(DATE(AnnéeCalendrier,1,4),1),"jjj")</f>
        <v>sam</v>
      </c>
      <c r="G5" s="15" t="str">
        <f>TEXT(WEEKDAY(DATE(AnnéeCalendrier,1,5),1),"jjj")</f>
        <v>dim</v>
      </c>
      <c r="H5" s="15" t="str">
        <f>TEXT(WEEKDAY(DATE(AnnéeCalendrier,1,6),1),"jjj")</f>
        <v>lun</v>
      </c>
      <c r="I5" s="15" t="str">
        <f>TEXT(WEEKDAY(DATE(AnnéeCalendrier,1,7),1),"jjj")</f>
        <v>mar</v>
      </c>
      <c r="J5" s="15" t="str">
        <f>TEXT(WEEKDAY(DATE(AnnéeCalendrier,1,8),1),"jjj")</f>
        <v>mer</v>
      </c>
      <c r="K5" s="15" t="str">
        <f>TEXT(WEEKDAY(DATE(AnnéeCalendrier,1,9),1),"jjj")</f>
        <v>jeu</v>
      </c>
      <c r="L5" s="15" t="str">
        <f>TEXT(WEEKDAY(DATE(AnnéeCalendrier,1,10),1),"jjj")</f>
        <v>ven</v>
      </c>
      <c r="M5" s="15" t="str">
        <f>TEXT(WEEKDAY(DATE(AnnéeCalendrier,1,11),1),"jjj")</f>
        <v>sam</v>
      </c>
      <c r="N5" s="15" t="str">
        <f>TEXT(WEEKDAY(DATE(AnnéeCalendrier,1,12),1),"jjj")</f>
        <v>dim</v>
      </c>
      <c r="O5" s="15" t="str">
        <f>TEXT(WEEKDAY(DATE(AnnéeCalendrier,1,13),1),"jjj")</f>
        <v>lun</v>
      </c>
      <c r="P5" s="15" t="str">
        <f>TEXT(WEEKDAY(DATE(AnnéeCalendrier,1,14),1),"jjj")</f>
        <v>mar</v>
      </c>
      <c r="Q5" s="15" t="str">
        <f>TEXT(WEEKDAY(DATE(AnnéeCalendrier,1,15),1),"jjj")</f>
        <v>mer</v>
      </c>
      <c r="R5" s="15" t="str">
        <f>TEXT(WEEKDAY(DATE(AnnéeCalendrier,1,16),1),"jjj")</f>
        <v>jeu</v>
      </c>
      <c r="S5" s="15" t="str">
        <f>TEXT(WEEKDAY(DATE(AnnéeCalendrier,1,17),1),"jjj")</f>
        <v>ven</v>
      </c>
      <c r="T5" s="15" t="str">
        <f>TEXT(WEEKDAY(DATE(AnnéeCalendrier,1,18),1),"jjj")</f>
        <v>sam</v>
      </c>
      <c r="U5" s="15" t="str">
        <f>TEXT(WEEKDAY(DATE(AnnéeCalendrier,1,19),1),"jjj")</f>
        <v>dim</v>
      </c>
      <c r="V5" s="15" t="str">
        <f>TEXT(WEEKDAY(DATE(AnnéeCalendrier,1,20),1),"jjj")</f>
        <v>lun</v>
      </c>
      <c r="W5" s="15" t="str">
        <f>TEXT(WEEKDAY(DATE(AnnéeCalendrier,1,21),1),"jjj")</f>
        <v>mar</v>
      </c>
      <c r="X5" s="15" t="str">
        <f>TEXT(WEEKDAY(DATE(AnnéeCalendrier,1,22),1),"jjj")</f>
        <v>mer</v>
      </c>
      <c r="Y5" s="15" t="str">
        <f>TEXT(WEEKDAY(DATE(AnnéeCalendrier,1,23),1),"jjj")</f>
        <v>jeu</v>
      </c>
      <c r="Z5" s="15" t="str">
        <f>TEXT(WEEKDAY(DATE(AnnéeCalendrier,1,24),1),"jjj")</f>
        <v>ven</v>
      </c>
      <c r="AA5" s="15" t="str">
        <f>TEXT(WEEKDAY(DATE(AnnéeCalendrier,1,25),1),"jjj")</f>
        <v>sam</v>
      </c>
      <c r="AB5" s="15" t="str">
        <f>TEXT(WEEKDAY(DATE(AnnéeCalendrier,1,26),1),"jjj")</f>
        <v>dim</v>
      </c>
      <c r="AC5" s="15" t="str">
        <f>TEXT(WEEKDAY(DATE(AnnéeCalendrier,1,27),1),"jjj")</f>
        <v>lun</v>
      </c>
      <c r="AD5" s="15" t="str">
        <f>TEXT(WEEKDAY(DATE(AnnéeCalendrier,1,28),1),"jjj")</f>
        <v>mar</v>
      </c>
      <c r="AE5" s="15" t="str">
        <f>TEXT(WEEKDAY(DATE(AnnéeCalendrier,1,29),1),"jjj")</f>
        <v>mer</v>
      </c>
      <c r="AF5" s="15" t="str">
        <f>TEXT(WEEKDAY(DATE(AnnéeCalendrier,1,30),1),"jjj")</f>
        <v>jeu</v>
      </c>
      <c r="AG5" s="15" t="str">
        <f>TEXT(WEEKDAY(DATE(AnnéeCalendrier,1,31),1),"jjj")</f>
        <v>ven</v>
      </c>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17" t="s">
        <v>34</v>
      </c>
      <c r="AH6" s="18" t="s">
        <v>36</v>
      </c>
    </row>
    <row r="7" spans="1:34" ht="30" customHeight="1" x14ac:dyDescent="0.25">
      <c r="B7" s="19" t="s">
        <v>58</v>
      </c>
      <c r="C7" s="20"/>
      <c r="D7" s="20"/>
      <c r="E7" s="20"/>
      <c r="F7" s="17"/>
      <c r="G7" s="17"/>
      <c r="H7" s="17"/>
      <c r="I7" s="17"/>
      <c r="J7" s="17"/>
      <c r="K7" s="20"/>
      <c r="L7" s="20"/>
      <c r="M7" s="17"/>
      <c r="N7" s="17"/>
      <c r="O7" s="17"/>
      <c r="P7" s="17"/>
      <c r="Q7" s="17"/>
      <c r="R7" s="20"/>
      <c r="S7" s="20"/>
      <c r="T7" s="17"/>
      <c r="U7" s="17"/>
      <c r="V7" s="17"/>
      <c r="W7" s="17"/>
      <c r="X7" s="17"/>
      <c r="Y7" s="20"/>
      <c r="Z7" s="20"/>
      <c r="AA7" s="17"/>
      <c r="AB7" s="17"/>
      <c r="AC7" s="17"/>
      <c r="AD7" s="17"/>
      <c r="AE7" s="17"/>
      <c r="AF7" s="20"/>
      <c r="AG7" s="20"/>
      <c r="AH7" s="21">
        <f>COUNTA('2020-Janvier'!$C7:$AG7)</f>
        <v>0</v>
      </c>
    </row>
    <row r="8" spans="1:34" ht="30" customHeight="1" x14ac:dyDescent="0.25">
      <c r="B8" s="19" t="s">
        <v>59</v>
      </c>
      <c r="C8" s="20"/>
      <c r="D8" s="20"/>
      <c r="E8" s="20"/>
      <c r="F8" s="17"/>
      <c r="G8" s="17"/>
      <c r="H8" s="17"/>
      <c r="I8" s="17"/>
      <c r="J8" s="17"/>
      <c r="K8" s="20"/>
      <c r="L8" s="20"/>
      <c r="M8" s="17"/>
      <c r="N8" s="17"/>
      <c r="O8" s="17"/>
      <c r="P8" s="17"/>
      <c r="Q8" s="17"/>
      <c r="R8" s="20"/>
      <c r="S8" s="20"/>
      <c r="T8" s="17"/>
      <c r="U8" s="17"/>
      <c r="V8" s="17"/>
      <c r="W8" s="17"/>
      <c r="X8" s="17"/>
      <c r="Y8" s="20"/>
      <c r="Z8" s="20"/>
      <c r="AA8" s="17"/>
      <c r="AB8" s="17"/>
      <c r="AC8" s="17"/>
      <c r="AD8" s="17"/>
      <c r="AE8" s="17"/>
      <c r="AF8" s="20"/>
      <c r="AG8" s="20"/>
      <c r="AH8" s="21">
        <f>COUNTA('2020-Janvier'!$C8:$AG8)</f>
        <v>0</v>
      </c>
    </row>
    <row r="9" spans="1:34" ht="30" customHeight="1" x14ac:dyDescent="0.25">
      <c r="B9" s="19" t="s">
        <v>60</v>
      </c>
      <c r="C9" s="20"/>
      <c r="D9" s="20"/>
      <c r="E9" s="20"/>
      <c r="F9" s="17"/>
      <c r="G9" s="17"/>
      <c r="H9" s="17"/>
      <c r="I9" s="17"/>
      <c r="J9" s="17"/>
      <c r="K9" s="20"/>
      <c r="L9" s="20"/>
      <c r="M9" s="17"/>
      <c r="N9" s="17"/>
      <c r="O9" s="17"/>
      <c r="P9" s="17"/>
      <c r="Q9" s="17"/>
      <c r="R9" s="20"/>
      <c r="S9" s="20"/>
      <c r="T9" s="17"/>
      <c r="U9" s="17"/>
      <c r="V9" s="17"/>
      <c r="W9" s="17"/>
      <c r="X9" s="17"/>
      <c r="Y9" s="20"/>
      <c r="Z9" s="20"/>
      <c r="AA9" s="17"/>
      <c r="AB9" s="17"/>
      <c r="AC9" s="17"/>
      <c r="AD9" s="17"/>
      <c r="AE9" s="17"/>
      <c r="AF9" s="20"/>
      <c r="AG9" s="20"/>
      <c r="AH9" s="21">
        <f>COUNTA('2020-Janvier'!$C9:$AG9)</f>
        <v>0</v>
      </c>
    </row>
    <row r="10" spans="1:34" ht="30" customHeight="1" x14ac:dyDescent="0.25">
      <c r="B10" s="22" t="str">
        <f>NomMois&amp;" Total"</f>
        <v>Janvier Total</v>
      </c>
      <c r="C10" s="23">
        <f>SUBTOTAL(103,'2020-Janvier'!$D$7:$D$9)</f>
        <v>0</v>
      </c>
      <c r="D10" s="23">
        <f>SUBTOTAL(103,'2020-Janvier'!$D$7:$D$9)</f>
        <v>0</v>
      </c>
      <c r="E10" s="23">
        <f>SUBTOTAL(103,'2020-Janvier'!$E$7:$E$9)</f>
        <v>0</v>
      </c>
      <c r="F10" s="24">
        <f>SUBTOTAL(103,'2020-Janvier'!$F$7:$F$9)</f>
        <v>0</v>
      </c>
      <c r="G10" s="24">
        <f>SUBTOTAL(103,'2020-Janvier'!$G$7:$G$9)</f>
        <v>0</v>
      </c>
      <c r="H10" s="24">
        <f>SUBTOTAL(103,'2020-Janvier'!$H$7:$H$9)</f>
        <v>0</v>
      </c>
      <c r="I10" s="24">
        <f>SUBTOTAL(103,'2020-Janvier'!$I$7:$I$9)</f>
        <v>0</v>
      </c>
      <c r="J10" s="24">
        <f>SUBTOTAL(103,'2020-Janvier'!$J$7:$J$9)</f>
        <v>0</v>
      </c>
      <c r="K10" s="23">
        <f>SUBTOTAL(103,'2020-Janvier'!$D$7:$D$9)</f>
        <v>0</v>
      </c>
      <c r="L10" s="23">
        <f>SUBTOTAL(103,'2020-Janvier'!$E$7:$E$9)</f>
        <v>0</v>
      </c>
      <c r="M10" s="24">
        <f>SUBTOTAL(103,'2020-Janvier'!$M$7:$M$9)</f>
        <v>0</v>
      </c>
      <c r="N10" s="24">
        <f>SUBTOTAL(103,'2020-Janvier'!$N$7:$N$9)</f>
        <v>0</v>
      </c>
      <c r="O10" s="24">
        <f>SUBTOTAL(103,'2020-Janvier'!$O$7:$O$9)</f>
        <v>0</v>
      </c>
      <c r="P10" s="24">
        <f>SUBTOTAL(103,'2020-Janvier'!$P$7:$P$9)</f>
        <v>0</v>
      </c>
      <c r="Q10" s="24">
        <f>SUBTOTAL(103,'2020-Janvier'!$Q$7:$Q$9)</f>
        <v>0</v>
      </c>
      <c r="R10" s="23">
        <f>SUBTOTAL(103,'2020-Janvier'!$D$7:$D$9)</f>
        <v>0</v>
      </c>
      <c r="S10" s="23">
        <f>SUBTOTAL(103,'2020-Janvier'!$E$7:$E$9)</f>
        <v>0</v>
      </c>
      <c r="T10" s="24">
        <f>SUBTOTAL(103,'2020-Janvier'!$T$7:$T$9)</f>
        <v>0</v>
      </c>
      <c r="U10" s="24">
        <f>SUBTOTAL(103,'2020-Janvier'!$U$7:$U$9)</f>
        <v>0</v>
      </c>
      <c r="V10" s="24">
        <f>SUBTOTAL(103,'2020-Janvier'!$V$7:$V$9)</f>
        <v>0</v>
      </c>
      <c r="W10" s="24">
        <f>SUBTOTAL(103,'2020-Janvier'!$W$7:$W$9)</f>
        <v>0</v>
      </c>
      <c r="X10" s="24">
        <f>SUBTOTAL(103,'2020-Janvier'!$X$7:$X$9)</f>
        <v>0</v>
      </c>
      <c r="Y10" s="23">
        <f>SUBTOTAL(103,'2020-Janvier'!$D$7:$D$9)</f>
        <v>0</v>
      </c>
      <c r="Z10" s="23">
        <f>SUBTOTAL(103,'2020-Janvier'!$E$7:$E$9)</f>
        <v>0</v>
      </c>
      <c r="AA10" s="24">
        <f>SUBTOTAL(103,'2020-Janvier'!$AA$7:$AA$9)</f>
        <v>0</v>
      </c>
      <c r="AB10" s="24">
        <f>SUBTOTAL(103,'2020-Janvier'!$AB$7:$AB$9)</f>
        <v>0</v>
      </c>
      <c r="AC10" s="24">
        <f>SUBTOTAL(103,'2020-Janvier'!$AC$7:$AC$9)</f>
        <v>0</v>
      </c>
      <c r="AD10" s="24">
        <f>SUBTOTAL(103,'2020-Janvier'!$AD$7:$AD$9)</f>
        <v>0</v>
      </c>
      <c r="AE10" s="24">
        <f>SUBTOTAL(103,'2020-Janvier'!$AE$7:$AE$9)</f>
        <v>0</v>
      </c>
      <c r="AF10" s="23">
        <f>SUBTOTAL(103,'2020-Janvier'!$D$7:$D$9)</f>
        <v>0</v>
      </c>
      <c r="AG10" s="23">
        <f>SUBTOTAL(103,'2020-Janvier'!$E$7:$E$9)</f>
        <v>0</v>
      </c>
      <c r="AH10" s="24">
        <f>SUBTOTAL(109,Janvier[Total des jours])</f>
        <v>0</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I2:K2"/>
    <mergeCell ref="M2:O2"/>
    <mergeCell ref="E2:G2"/>
    <mergeCell ref="AG12:AH12"/>
  </mergeCells>
  <conditionalFormatting sqref="AH7:AH9">
    <cfRule type="dataBar" priority="188">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C7:AG10">
    <cfRule type="expression" priority="1" stopIfTrue="1">
      <formula>C7=""</formula>
    </cfRule>
    <cfRule type="cellIs" dxfId="976" priority="2" stopIfTrue="1" operator="equal">
      <formula>"A"</formula>
    </cfRule>
    <cfRule type="cellIs" dxfId="975" priority="3" stopIfTrue="1" operator="equal">
      <formula>"M"</formula>
    </cfRule>
    <cfRule type="cellIs" dxfId="974" priority="4" stopIfTrue="1" operator="equal">
      <formula>"J"</formula>
    </cfRule>
  </conditionalFormatting>
  <dataValidations count="1">
    <dataValidation allowBlank="1" showErrorMessage="1" sqref="AH3:AH4 A1 L2 H2 D2 B4 B1:B2 AH6 C5 B6:C6" xr:uid="{00000000-0002-0000-0000-000000000000}"/>
  </dataValidations>
  <pageMargins left="0.7" right="0.7" top="0.75" bottom="0.75" header="0.3" footer="0.3"/>
  <pageSetup paperSize="9" fitToHeight="0" orientation="portrait"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employés'!$B$4:$B$6</xm:f>
          </x14:formula1>
          <xm:sqref>B7:B9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2" tint="-0.749992370372631"/>
  </sheetPr>
  <dimension ref="A1:AH13"/>
  <sheetViews>
    <sheetView showGridLines="0" zoomScaleNormal="100" workbookViewId="0">
      <selection activeCell="W20" sqref="W20"/>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61</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37</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TEXT(WEEKDAY(DATE(AnnéeCalendrier,2,1),1),"jjj")</f>
        <v>sam</v>
      </c>
      <c r="D5" s="15" t="str">
        <f>TEXT(WEEKDAY(DATE(AnnéeCalendrier,2,2),1),"jjj")</f>
        <v>dim</v>
      </c>
      <c r="E5" s="15" t="str">
        <f>TEXT(WEEKDAY(DATE(AnnéeCalendrier,2,3),1),"jjj")</f>
        <v>lun</v>
      </c>
      <c r="F5" s="15" t="str">
        <f>TEXT(WEEKDAY(DATE(AnnéeCalendrier,2,4),1),"jjj")</f>
        <v>mar</v>
      </c>
      <c r="G5" s="15" t="str">
        <f>TEXT(WEEKDAY(DATE(AnnéeCalendrier,2,5),1),"jjj")</f>
        <v>mer</v>
      </c>
      <c r="H5" s="15" t="str">
        <f>TEXT(WEEKDAY(DATE(AnnéeCalendrier,2,6),1),"jjj")</f>
        <v>jeu</v>
      </c>
      <c r="I5" s="15" t="str">
        <f>TEXT(WEEKDAY(DATE(AnnéeCalendrier,2,7),1),"jjj")</f>
        <v>ven</v>
      </c>
      <c r="J5" s="15" t="str">
        <f>TEXT(WEEKDAY(DATE(AnnéeCalendrier,2,8),1),"jjj")</f>
        <v>sam</v>
      </c>
      <c r="K5" s="15" t="str">
        <f>TEXT(WEEKDAY(DATE(AnnéeCalendrier,2,9),1),"jjj")</f>
        <v>dim</v>
      </c>
      <c r="L5" s="15" t="str">
        <f>TEXT(WEEKDAY(DATE(AnnéeCalendrier,2,10),1),"jjj")</f>
        <v>lun</v>
      </c>
      <c r="M5" s="15" t="str">
        <f>TEXT(WEEKDAY(DATE(AnnéeCalendrier,2,11),1),"jjj")</f>
        <v>mar</v>
      </c>
      <c r="N5" s="15" t="str">
        <f>TEXT(WEEKDAY(DATE(AnnéeCalendrier,2,12),1),"jjj")</f>
        <v>mer</v>
      </c>
      <c r="O5" s="15" t="str">
        <f>TEXT(WEEKDAY(DATE(AnnéeCalendrier,2,13),1),"jjj")</f>
        <v>jeu</v>
      </c>
      <c r="P5" s="15" t="str">
        <f>TEXT(WEEKDAY(DATE(AnnéeCalendrier,2,14),1),"jjj")</f>
        <v>ven</v>
      </c>
      <c r="Q5" s="15" t="str">
        <f>TEXT(WEEKDAY(DATE(AnnéeCalendrier,2,15),1),"jjj")</f>
        <v>sam</v>
      </c>
      <c r="R5" s="15" t="str">
        <f>TEXT(WEEKDAY(DATE(AnnéeCalendrier,2,16),1),"jjj")</f>
        <v>dim</v>
      </c>
      <c r="S5" s="15" t="str">
        <f>TEXT(WEEKDAY(DATE(AnnéeCalendrier,2,17),1),"jjj")</f>
        <v>lun</v>
      </c>
      <c r="T5" s="15" t="str">
        <f>TEXT(WEEKDAY(DATE(AnnéeCalendrier,2,18),1),"jjj")</f>
        <v>mar</v>
      </c>
      <c r="U5" s="15" t="str">
        <f>TEXT(WEEKDAY(DATE(AnnéeCalendrier,2,19),1),"jjj")</f>
        <v>mer</v>
      </c>
      <c r="V5" s="15" t="str">
        <f>TEXT(WEEKDAY(DATE(AnnéeCalendrier,2,20),1),"jjj")</f>
        <v>jeu</v>
      </c>
      <c r="W5" s="15" t="str">
        <f>TEXT(WEEKDAY(DATE(AnnéeCalendrier,2,21),1),"jjj")</f>
        <v>ven</v>
      </c>
      <c r="X5" s="15" t="str">
        <f>TEXT(WEEKDAY(DATE(AnnéeCalendrier,2,22),1),"jjj")</f>
        <v>sam</v>
      </c>
      <c r="Y5" s="15" t="str">
        <f>TEXT(WEEKDAY(DATE(AnnéeCalendrier,2,23),1),"jjj")</f>
        <v>dim</v>
      </c>
      <c r="Z5" s="15" t="str">
        <f>TEXT(WEEKDAY(DATE(AnnéeCalendrier,2,24),1),"jjj")</f>
        <v>lun</v>
      </c>
      <c r="AA5" s="15" t="str">
        <f>TEXT(WEEKDAY(DATE(AnnéeCalendrier,2,25),1),"jjj")</f>
        <v>mar</v>
      </c>
      <c r="AB5" s="15" t="str">
        <f>TEXT(WEEKDAY(DATE(AnnéeCalendrier,2,26),1),"jjj")</f>
        <v>mer</v>
      </c>
      <c r="AC5" s="15" t="str">
        <f>TEXT(WEEKDAY(DATE(AnnéeCalendrier,2,27),1),"jjj")</f>
        <v>jeu</v>
      </c>
      <c r="AD5" s="15" t="str">
        <f>TEXT(WEEKDAY(DATE(AnnéeCalendrier,2,28),1),"jjj")</f>
        <v>ven</v>
      </c>
      <c r="AE5" s="15" t="str">
        <f>TEXT(WEEKDAY(DATE(AnnéeCalendrier,2,29),1),"jjj")</f>
        <v>sam</v>
      </c>
      <c r="AF5" s="15"/>
      <c r="AG5" s="15"/>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38</v>
      </c>
      <c r="AG6" s="17" t="s">
        <v>39</v>
      </c>
      <c r="AH6" s="18" t="s">
        <v>36</v>
      </c>
    </row>
    <row r="7" spans="1:34" ht="30" customHeight="1" x14ac:dyDescent="0.25">
      <c r="B7" s="27" t="s">
        <v>58</v>
      </c>
      <c r="C7" s="17"/>
      <c r="D7" s="17"/>
      <c r="E7" s="17"/>
      <c r="F7" s="17"/>
      <c r="G7" s="17"/>
      <c r="H7" s="20"/>
      <c r="I7" s="20"/>
      <c r="J7" s="17"/>
      <c r="K7" s="17"/>
      <c r="L7" s="17"/>
      <c r="M7" s="17"/>
      <c r="N7" s="17"/>
      <c r="O7" s="20"/>
      <c r="P7" s="20"/>
      <c r="Q7" s="17"/>
      <c r="R7" s="17"/>
      <c r="S7" s="17"/>
      <c r="T7" s="17"/>
      <c r="U7" s="17"/>
      <c r="V7" s="20"/>
      <c r="W7" s="20"/>
      <c r="X7" s="17"/>
      <c r="Y7" s="17"/>
      <c r="Z7" s="17"/>
      <c r="AA7" s="17"/>
      <c r="AB7" s="17"/>
      <c r="AC7" s="20"/>
      <c r="AD7" s="20"/>
      <c r="AE7" s="17"/>
      <c r="AF7" s="17"/>
      <c r="AG7" s="17"/>
      <c r="AH7" s="21">
        <f>COUNTA(Février[[#This Row],[1]:[29]])</f>
        <v>0</v>
      </c>
    </row>
    <row r="8" spans="1:34" ht="30" customHeight="1" x14ac:dyDescent="0.25">
      <c r="B8" s="27" t="s">
        <v>59</v>
      </c>
      <c r="C8" s="17"/>
      <c r="D8" s="17"/>
      <c r="E8" s="17"/>
      <c r="F8" s="17"/>
      <c r="G8" s="17"/>
      <c r="H8" s="20"/>
      <c r="I8" s="20"/>
      <c r="J8" s="17"/>
      <c r="K8" s="17"/>
      <c r="L8" s="17"/>
      <c r="M8" s="17"/>
      <c r="N8" s="17"/>
      <c r="O8" s="20"/>
      <c r="P8" s="20"/>
      <c r="Q8" s="17"/>
      <c r="R8" s="17"/>
      <c r="S8" s="17"/>
      <c r="T8" s="17"/>
      <c r="U8" s="17"/>
      <c r="V8" s="20"/>
      <c r="W8" s="20"/>
      <c r="X8" s="17"/>
      <c r="Y8" s="17"/>
      <c r="Z8" s="17"/>
      <c r="AA8" s="17"/>
      <c r="AB8" s="17"/>
      <c r="AC8" s="20"/>
      <c r="AD8" s="20"/>
      <c r="AE8" s="17"/>
      <c r="AF8" s="17"/>
      <c r="AG8" s="17"/>
      <c r="AH8" s="21">
        <f>COUNTA(Février[[#This Row],[1]:[29]])</f>
        <v>0</v>
      </c>
    </row>
    <row r="9" spans="1:34" ht="30" customHeight="1" x14ac:dyDescent="0.25">
      <c r="B9" s="27" t="s">
        <v>60</v>
      </c>
      <c r="C9" s="17"/>
      <c r="D9" s="17"/>
      <c r="E9" s="17"/>
      <c r="F9" s="17"/>
      <c r="G9" s="17"/>
      <c r="H9" s="20"/>
      <c r="I9" s="20"/>
      <c r="J9" s="17"/>
      <c r="K9" s="17"/>
      <c r="L9" s="17"/>
      <c r="M9" s="17"/>
      <c r="N9" s="17"/>
      <c r="O9" s="20"/>
      <c r="P9" s="20"/>
      <c r="Q9" s="17"/>
      <c r="R9" s="17"/>
      <c r="S9" s="17"/>
      <c r="T9" s="17"/>
      <c r="U9" s="17"/>
      <c r="V9" s="20"/>
      <c r="W9" s="20"/>
      <c r="X9" s="17"/>
      <c r="Y9" s="17"/>
      <c r="Z9" s="17"/>
      <c r="AA9" s="17"/>
      <c r="AB9" s="17"/>
      <c r="AC9" s="20"/>
      <c r="AD9" s="20"/>
      <c r="AE9" s="17"/>
      <c r="AF9" s="17"/>
      <c r="AG9" s="17"/>
      <c r="AH9" s="21">
        <f>COUNTA(Février[[#This Row],[1]:[29]])</f>
        <v>0</v>
      </c>
    </row>
    <row r="10" spans="1:34" ht="30" customHeight="1" x14ac:dyDescent="0.25">
      <c r="B10" s="22" t="str">
        <f>NomMois&amp;" Total"</f>
        <v>Février Total</v>
      </c>
      <c r="C10" s="24">
        <f>SUBTOTAL(103,Février[1])</f>
        <v>0</v>
      </c>
      <c r="D10" s="24">
        <f>SUBTOTAL(103,Février[2])</f>
        <v>0</v>
      </c>
      <c r="E10" s="24">
        <f>SUBTOTAL(103,Février[3])</f>
        <v>0</v>
      </c>
      <c r="F10" s="24">
        <f>SUBTOTAL(103,Février[4])</f>
        <v>0</v>
      </c>
      <c r="G10" s="24">
        <f>SUBTOTAL(103,Février[5])</f>
        <v>0</v>
      </c>
      <c r="H10" s="23">
        <f>SUBTOTAL(103,'2020-Janvier'!$D$7:$D$9)</f>
        <v>0</v>
      </c>
      <c r="I10" s="23">
        <f>SUBTOTAL(103,'2020-Janvier'!$E$7:$E$9)</f>
        <v>0</v>
      </c>
      <c r="J10" s="24">
        <f>SUBTOTAL(103,Février[8])</f>
        <v>0</v>
      </c>
      <c r="K10" s="24">
        <f>SUBTOTAL(103,Février[9])</f>
        <v>0</v>
      </c>
      <c r="L10" s="24">
        <f>SUBTOTAL(103,Février[10])</f>
        <v>0</v>
      </c>
      <c r="M10" s="24">
        <f>SUBTOTAL(103,Février[11])</f>
        <v>0</v>
      </c>
      <c r="N10" s="24">
        <f>SUBTOTAL(103,Février[12])</f>
        <v>0</v>
      </c>
      <c r="O10" s="23">
        <f>SUBTOTAL(103,'2020-Janvier'!$D$7:$D$9)</f>
        <v>0</v>
      </c>
      <c r="P10" s="23">
        <f>SUBTOTAL(103,'2020-Janvier'!$E$7:$E$9)</f>
        <v>0</v>
      </c>
      <c r="Q10" s="24">
        <f>SUBTOTAL(103,Février[15])</f>
        <v>0</v>
      </c>
      <c r="R10" s="24">
        <f>SUBTOTAL(103,Février[16])</f>
        <v>0</v>
      </c>
      <c r="S10" s="24">
        <f>SUBTOTAL(103,Février[17])</f>
        <v>0</v>
      </c>
      <c r="T10" s="24">
        <f>SUBTOTAL(103,Février[18])</f>
        <v>0</v>
      </c>
      <c r="U10" s="24">
        <f>SUBTOTAL(103,Février[19])</f>
        <v>0</v>
      </c>
      <c r="V10" s="23">
        <f>SUBTOTAL(103,'2020-Janvier'!$D$7:$D$9)</f>
        <v>0</v>
      </c>
      <c r="W10" s="23">
        <f>SUBTOTAL(103,'2020-Janvier'!$E$7:$E$9)</f>
        <v>0</v>
      </c>
      <c r="X10" s="24">
        <f>SUBTOTAL(103,Février[22])</f>
        <v>0</v>
      </c>
      <c r="Y10" s="24">
        <f>SUBTOTAL(103,Février[23])</f>
        <v>0</v>
      </c>
      <c r="Z10" s="24">
        <f>SUBTOTAL(103,Février[24])</f>
        <v>0</v>
      </c>
      <c r="AA10" s="24">
        <f>SUBTOTAL(103,Février[25])</f>
        <v>0</v>
      </c>
      <c r="AB10" s="24">
        <f>SUBTOTAL(103,Février[26])</f>
        <v>0</v>
      </c>
      <c r="AC10" s="23">
        <f>SUBTOTAL(103,'2020-Janvier'!$D$7:$D$9)</f>
        <v>0</v>
      </c>
      <c r="AD10" s="23">
        <f>SUBTOTAL(103,'2020-Janvier'!$E$7:$E$9)</f>
        <v>0</v>
      </c>
      <c r="AE10" s="24">
        <f>SUBTOTAL(103,Février[29])</f>
        <v>0</v>
      </c>
      <c r="AF10" s="24"/>
      <c r="AG10" s="24"/>
      <c r="AH10" s="24">
        <f>SUBTOTAL(109,Février[Total des jours])</f>
        <v>0</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I2:K2"/>
    <mergeCell ref="M2:O2"/>
    <mergeCell ref="E2:G2"/>
    <mergeCell ref="AG12:AH12"/>
  </mergeCells>
  <conditionalFormatting sqref="AH7:AH9">
    <cfRule type="dataBar" priority="186">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conditionalFormatting sqref="C7:AG9">
    <cfRule type="cellIs" dxfId="904" priority="1" operator="equal">
      <formula>"J"</formula>
    </cfRule>
    <cfRule type="expression" priority="2" stopIfTrue="1">
      <formula>C7=""</formula>
    </cfRule>
    <cfRule type="cellIs" dxfId="903" priority="3" stopIfTrue="1" operator="equal">
      <formula>$L$2</formula>
    </cfRule>
    <cfRule type="cellIs" dxfId="902" priority="4" stopIfTrue="1" operator="equal">
      <formula>$H$2</formula>
    </cfRule>
  </conditionalFormatting>
  <dataValidations xWindow="232" yWindow="365" count="1">
    <dataValidation allowBlank="1" showErrorMessage="1" sqref="AH3:AH4 A1:B1 L2 H2 D2 B2 C5 B6:C6 B4 AH6" xr:uid="{00000000-0002-0000-0100-000000000000}"/>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B136EADA-AC0C-412E-A4B2-A4B1FCFEDDD3}">
          <x14:formula1>
            <xm:f>'Noms des employés'!$B$4:$B$6</xm:f>
          </x14:formula1>
          <xm:sqref>B7:B9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2" tint="-0.499984740745262"/>
  </sheetPr>
  <dimension ref="A1:AH13"/>
  <sheetViews>
    <sheetView showGridLines="0" zoomScaleNormal="100" workbookViewId="0">
      <selection activeCell="W20" sqref="W20"/>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61</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40</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TEXT(WEEKDAY(DATE(AnnéeCalendrier,3,1),1),"jjj")</f>
        <v>dim</v>
      </c>
      <c r="D5" s="15" t="str">
        <f>TEXT(WEEKDAY(DATE(AnnéeCalendrier,3,2),1),"jjj")</f>
        <v>lun</v>
      </c>
      <c r="E5" s="15" t="str">
        <f>TEXT(WEEKDAY(DATE(AnnéeCalendrier,3,3),1),"jjj")</f>
        <v>mar</v>
      </c>
      <c r="F5" s="15" t="str">
        <f>TEXT(WEEKDAY(DATE(AnnéeCalendrier,3,4),1),"jjj")</f>
        <v>mer</v>
      </c>
      <c r="G5" s="15" t="str">
        <f>TEXT(WEEKDAY(DATE(AnnéeCalendrier,3,5),1),"jjj")</f>
        <v>jeu</v>
      </c>
      <c r="H5" s="15" t="str">
        <f>TEXT(WEEKDAY(DATE(AnnéeCalendrier,3,6),1),"jjj")</f>
        <v>ven</v>
      </c>
      <c r="I5" s="15" t="str">
        <f>TEXT(WEEKDAY(DATE(AnnéeCalendrier,3,7),1),"jjj")</f>
        <v>sam</v>
      </c>
      <c r="J5" s="15" t="str">
        <f>TEXT(WEEKDAY(DATE(AnnéeCalendrier,3,8),1),"jjj")</f>
        <v>dim</v>
      </c>
      <c r="K5" s="15" t="str">
        <f>TEXT(WEEKDAY(DATE(AnnéeCalendrier,3,9),1),"jjj")</f>
        <v>lun</v>
      </c>
      <c r="L5" s="15" t="str">
        <f>TEXT(WEEKDAY(DATE(AnnéeCalendrier,3,10),1),"jjj")</f>
        <v>mar</v>
      </c>
      <c r="M5" s="15" t="str">
        <f>TEXT(WEEKDAY(DATE(AnnéeCalendrier,3,11),1),"jjj")</f>
        <v>mer</v>
      </c>
      <c r="N5" s="15" t="str">
        <f>TEXT(WEEKDAY(DATE(AnnéeCalendrier,3,12),1),"jjj")</f>
        <v>jeu</v>
      </c>
      <c r="O5" s="15" t="str">
        <f>TEXT(WEEKDAY(DATE(AnnéeCalendrier,3,13),1),"jjj")</f>
        <v>ven</v>
      </c>
      <c r="P5" s="15" t="str">
        <f>TEXT(WEEKDAY(DATE(AnnéeCalendrier,3,14),1),"jjj")</f>
        <v>sam</v>
      </c>
      <c r="Q5" s="15" t="str">
        <f>TEXT(WEEKDAY(DATE(AnnéeCalendrier,3,15),1),"jjj")</f>
        <v>dim</v>
      </c>
      <c r="R5" s="15" t="str">
        <f>TEXT(WEEKDAY(DATE(AnnéeCalendrier,3,16),1),"jjj")</f>
        <v>lun</v>
      </c>
      <c r="S5" s="15" t="str">
        <f>TEXT(WEEKDAY(DATE(AnnéeCalendrier,3,17),1),"jjj")</f>
        <v>mar</v>
      </c>
      <c r="T5" s="15" t="str">
        <f>TEXT(WEEKDAY(DATE(AnnéeCalendrier,3,18),1),"jjj")</f>
        <v>mer</v>
      </c>
      <c r="U5" s="15" t="str">
        <f>TEXT(WEEKDAY(DATE(AnnéeCalendrier,3,19),1),"jjj")</f>
        <v>jeu</v>
      </c>
      <c r="V5" s="15" t="str">
        <f>TEXT(WEEKDAY(DATE(AnnéeCalendrier,3,20),1),"jjj")</f>
        <v>ven</v>
      </c>
      <c r="W5" s="15" t="str">
        <f>TEXT(WEEKDAY(DATE(AnnéeCalendrier,3,21),1),"jjj")</f>
        <v>sam</v>
      </c>
      <c r="X5" s="15" t="str">
        <f>TEXT(WEEKDAY(DATE(AnnéeCalendrier,3,22),1),"jjj")</f>
        <v>dim</v>
      </c>
      <c r="Y5" s="15" t="str">
        <f>TEXT(WEEKDAY(DATE(AnnéeCalendrier,3,23),1),"jjj")</f>
        <v>lun</v>
      </c>
      <c r="Z5" s="15" t="str">
        <f>TEXT(WEEKDAY(DATE(AnnéeCalendrier,3,24),1),"jjj")</f>
        <v>mar</v>
      </c>
      <c r="AA5" s="15" t="str">
        <f>TEXT(WEEKDAY(DATE(AnnéeCalendrier,3,25),1),"jjj")</f>
        <v>mer</v>
      </c>
      <c r="AB5" s="15" t="str">
        <f>TEXT(WEEKDAY(DATE(AnnéeCalendrier,3,26),1),"jjj")</f>
        <v>jeu</v>
      </c>
      <c r="AC5" s="15" t="str">
        <f>TEXT(WEEKDAY(DATE(AnnéeCalendrier,3,27),1),"jjj")</f>
        <v>ven</v>
      </c>
      <c r="AD5" s="15" t="str">
        <f>TEXT(WEEKDAY(DATE(AnnéeCalendrier,3,28),1),"jjj")</f>
        <v>sam</v>
      </c>
      <c r="AE5" s="15" t="str">
        <f>TEXT(WEEKDAY(DATE(AnnéeCalendrier,3,29),1),"jjj")</f>
        <v>dim</v>
      </c>
      <c r="AF5" s="15" t="str">
        <f>TEXT(WEEKDAY(DATE(AnnéeCalendrier,3,30),1),"jjj")</f>
        <v>lun</v>
      </c>
      <c r="AG5" s="15" t="str">
        <f>TEXT(WEEKDAY(DATE(AnnéeCalendrier,3,31),1),"jjj")</f>
        <v>mar</v>
      </c>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17" t="s">
        <v>34</v>
      </c>
      <c r="AH6" s="18" t="s">
        <v>36</v>
      </c>
    </row>
    <row r="7" spans="1:34" ht="30" customHeight="1" x14ac:dyDescent="0.25">
      <c r="B7" s="27" t="s">
        <v>58</v>
      </c>
      <c r="C7" s="17"/>
      <c r="D7" s="17"/>
      <c r="E7" s="17"/>
      <c r="F7" s="17"/>
      <c r="G7" s="17"/>
      <c r="H7" s="20"/>
      <c r="I7" s="20"/>
      <c r="J7" s="17"/>
      <c r="K7" s="17"/>
      <c r="L7" s="17"/>
      <c r="M7" s="17"/>
      <c r="N7" s="17"/>
      <c r="O7" s="20"/>
      <c r="P7" s="20"/>
      <c r="Q7" s="17"/>
      <c r="R7" s="17"/>
      <c r="S7" s="17"/>
      <c r="T7" s="17"/>
      <c r="U7" s="17"/>
      <c r="V7" s="20"/>
      <c r="W7" s="20"/>
      <c r="X7" s="17"/>
      <c r="Y7" s="17"/>
      <c r="Z7" s="17"/>
      <c r="AA7" s="17"/>
      <c r="AB7" s="17"/>
      <c r="AC7" s="20"/>
      <c r="AD7" s="20"/>
      <c r="AE7" s="17"/>
      <c r="AF7" s="17"/>
      <c r="AG7" s="17"/>
      <c r="AH7" s="21">
        <f>COUNTA(Mars[[#This Row],[1]:[31]])</f>
        <v>0</v>
      </c>
    </row>
    <row r="8" spans="1:34" ht="30" customHeight="1" x14ac:dyDescent="0.25">
      <c r="B8" s="27" t="s">
        <v>59</v>
      </c>
      <c r="C8" s="17"/>
      <c r="D8" s="17"/>
      <c r="E8" s="17"/>
      <c r="F8" s="17"/>
      <c r="G8" s="17"/>
      <c r="H8" s="20"/>
      <c r="I8" s="20"/>
      <c r="J8" s="17"/>
      <c r="K8" s="17"/>
      <c r="L8" s="17"/>
      <c r="M8" s="17"/>
      <c r="N8" s="17"/>
      <c r="O8" s="20"/>
      <c r="P8" s="20"/>
      <c r="Q8" s="17"/>
      <c r="R8" s="17"/>
      <c r="S8" s="17"/>
      <c r="T8" s="17"/>
      <c r="U8" s="17"/>
      <c r="V8" s="20"/>
      <c r="W8" s="20"/>
      <c r="X8" s="17"/>
      <c r="Y8" s="17"/>
      <c r="Z8" s="17"/>
      <c r="AA8" s="17"/>
      <c r="AB8" s="17"/>
      <c r="AC8" s="20"/>
      <c r="AD8" s="20"/>
      <c r="AE8" s="17"/>
      <c r="AF8" s="17"/>
      <c r="AG8" s="17"/>
      <c r="AH8" s="21">
        <f>COUNTA(Mars[[#This Row],[1]:[31]])</f>
        <v>0</v>
      </c>
    </row>
    <row r="9" spans="1:34" ht="30" customHeight="1" x14ac:dyDescent="0.25">
      <c r="B9" s="27" t="s">
        <v>60</v>
      </c>
      <c r="C9" s="17"/>
      <c r="D9" s="17"/>
      <c r="E9" s="17"/>
      <c r="F9" s="17"/>
      <c r="G9" s="17"/>
      <c r="H9" s="20"/>
      <c r="I9" s="20"/>
      <c r="J9" s="17"/>
      <c r="K9" s="17"/>
      <c r="L9" s="17"/>
      <c r="M9" s="17"/>
      <c r="N9" s="17"/>
      <c r="O9" s="20"/>
      <c r="P9" s="20"/>
      <c r="Q9" s="17"/>
      <c r="R9" s="17"/>
      <c r="S9" s="17"/>
      <c r="T9" s="17"/>
      <c r="U9" s="17"/>
      <c r="V9" s="20"/>
      <c r="W9" s="20"/>
      <c r="X9" s="17"/>
      <c r="Y9" s="17"/>
      <c r="Z9" s="17"/>
      <c r="AA9" s="17"/>
      <c r="AB9" s="17"/>
      <c r="AC9" s="20"/>
      <c r="AD9" s="20"/>
      <c r="AE9" s="17"/>
      <c r="AF9" s="17"/>
      <c r="AG9" s="17"/>
      <c r="AH9" s="21">
        <f>COUNTA(Mars[[#This Row],[1]:[31]])</f>
        <v>0</v>
      </c>
    </row>
    <row r="10" spans="1:34" ht="30" customHeight="1" x14ac:dyDescent="0.25">
      <c r="B10" s="22" t="str">
        <f>NomMois&amp;" Total"</f>
        <v>Mars Total</v>
      </c>
      <c r="C10" s="24">
        <f>SUBTOTAL(103,Mars[1])</f>
        <v>0</v>
      </c>
      <c r="D10" s="24">
        <f>SUBTOTAL(103,Mars[2])</f>
        <v>0</v>
      </c>
      <c r="E10" s="24">
        <f>SUBTOTAL(103,Mars[3])</f>
        <v>0</v>
      </c>
      <c r="F10" s="24">
        <f>SUBTOTAL(103,Mars[4])</f>
        <v>0</v>
      </c>
      <c r="G10" s="24">
        <f>SUBTOTAL(103,Mars[5])</f>
        <v>0</v>
      </c>
      <c r="H10" s="23">
        <f>SUBTOTAL(103,'2020-Janvier'!$D$7:$D$9)</f>
        <v>0</v>
      </c>
      <c r="I10" s="23">
        <f>SUBTOTAL(103,'2020-Janvier'!$E$7:$E$9)</f>
        <v>0</v>
      </c>
      <c r="J10" s="24">
        <f>SUBTOTAL(103,Mars[8])</f>
        <v>0</v>
      </c>
      <c r="K10" s="24">
        <f>SUBTOTAL(103,Mars[9])</f>
        <v>0</v>
      </c>
      <c r="L10" s="24">
        <f>SUBTOTAL(103,Mars[10])</f>
        <v>0</v>
      </c>
      <c r="M10" s="24">
        <f>SUBTOTAL(103,Mars[11])</f>
        <v>0</v>
      </c>
      <c r="N10" s="24">
        <f>SUBTOTAL(103,Mars[12])</f>
        <v>0</v>
      </c>
      <c r="O10" s="23">
        <f>SUBTOTAL(103,'2020-Janvier'!$D$7:$D$9)</f>
        <v>0</v>
      </c>
      <c r="P10" s="23">
        <f>SUBTOTAL(103,'2020-Janvier'!$E$7:$E$9)</f>
        <v>0</v>
      </c>
      <c r="Q10" s="24">
        <f>SUBTOTAL(103,Mars[15])</f>
        <v>0</v>
      </c>
      <c r="R10" s="24">
        <f>SUBTOTAL(103,Mars[16])</f>
        <v>0</v>
      </c>
      <c r="S10" s="24">
        <f>SUBTOTAL(103,Mars[17])</f>
        <v>0</v>
      </c>
      <c r="T10" s="24">
        <f>SUBTOTAL(103,Mars[18])</f>
        <v>0</v>
      </c>
      <c r="U10" s="24">
        <f>SUBTOTAL(103,Mars[19])</f>
        <v>0</v>
      </c>
      <c r="V10" s="23">
        <f>SUBTOTAL(103,'2020-Janvier'!$D$7:$D$9)</f>
        <v>0</v>
      </c>
      <c r="W10" s="23">
        <f>SUBTOTAL(103,'2020-Janvier'!$E$7:$E$9)</f>
        <v>0</v>
      </c>
      <c r="X10" s="24">
        <f>SUBTOTAL(103,Mars[22])</f>
        <v>0</v>
      </c>
      <c r="Y10" s="24">
        <f>SUBTOTAL(103,Mars[23])</f>
        <v>0</v>
      </c>
      <c r="Z10" s="24">
        <f>SUBTOTAL(103,Mars[24])</f>
        <v>0</v>
      </c>
      <c r="AA10" s="24">
        <f>SUBTOTAL(103,Mars[25])</f>
        <v>0</v>
      </c>
      <c r="AB10" s="24">
        <f>SUBTOTAL(103,Mars[26])</f>
        <v>0</v>
      </c>
      <c r="AC10" s="23">
        <f>SUBTOTAL(103,'2020-Janvier'!$D$7:$D$9)</f>
        <v>0</v>
      </c>
      <c r="AD10" s="23">
        <f>SUBTOTAL(103,'2020-Janvier'!$E$7:$E$9)</f>
        <v>0</v>
      </c>
      <c r="AE10" s="24">
        <f>SUBTOTAL(103,Mars[29])</f>
        <v>0</v>
      </c>
      <c r="AF10" s="24">
        <f>SUBTOTAL(103,Mars[30])</f>
        <v>0</v>
      </c>
      <c r="AG10" s="24">
        <f>SUBTOTAL(103,Mars[31])</f>
        <v>0</v>
      </c>
      <c r="AH10" s="24">
        <f>SUBTOTAL(109,Mars[Total des jours])</f>
        <v>0</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E2:G2"/>
    <mergeCell ref="I2:K2"/>
    <mergeCell ref="M2:O2"/>
    <mergeCell ref="AG12:AH12"/>
  </mergeCells>
  <conditionalFormatting sqref="AH7:AH9">
    <cfRule type="dataBar" priority="186">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conditionalFormatting sqref="C7:AG9">
    <cfRule type="expression" priority="1" stopIfTrue="1">
      <formula>C7=""</formula>
    </cfRule>
    <cfRule type="cellIs" dxfId="832" priority="2" stopIfTrue="1" operator="equal">
      <formula>"A"</formula>
    </cfRule>
    <cfRule type="cellIs" dxfId="831" priority="3" stopIfTrue="1" operator="equal">
      <formula>"M"</formula>
    </cfRule>
    <cfRule type="cellIs" dxfId="830" priority="4" stopIfTrue="1" operator="equal">
      <formula>"J"</formula>
    </cfRule>
  </conditionalFormatting>
  <dataValidations count="1">
    <dataValidation allowBlank="1" showErrorMessage="1" sqref="B4 AH3 A1:B1 L2 H2 D2 B2" xr:uid="{00000000-0002-0000-0200-000002000000}"/>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employés'!$B$4:$B$6</xm:f>
          </x14:formula1>
          <xm:sqref>B7:B9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2" tint="-0.249977111117893"/>
  </sheetPr>
  <dimension ref="A1:AH13"/>
  <sheetViews>
    <sheetView showGridLines="0" zoomScaleNormal="100" workbookViewId="0">
      <selection activeCell="W20" sqref="W20"/>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61</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41</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TEXT(WEEKDAY(DATE(AnnéeCalendrier,4,1),1),"jjj")</f>
        <v>mer</v>
      </c>
      <c r="D5" s="15" t="str">
        <f>TEXT(WEEKDAY(DATE(AnnéeCalendrier,4,2),1),"jjj")</f>
        <v>jeu</v>
      </c>
      <c r="E5" s="15" t="str">
        <f>TEXT(WEEKDAY(DATE(AnnéeCalendrier,4,3),1),"jjj")</f>
        <v>ven</v>
      </c>
      <c r="F5" s="15" t="str">
        <f>TEXT(WEEKDAY(DATE(AnnéeCalendrier,4,4),1),"jjj")</f>
        <v>sam</v>
      </c>
      <c r="G5" s="15" t="str">
        <f>TEXT(WEEKDAY(DATE(AnnéeCalendrier,4,5),1),"jjj")</f>
        <v>dim</v>
      </c>
      <c r="H5" s="15" t="str">
        <f>TEXT(WEEKDAY(DATE(AnnéeCalendrier,4,6),1),"jjj")</f>
        <v>lun</v>
      </c>
      <c r="I5" s="15" t="str">
        <f>TEXT(WEEKDAY(DATE(AnnéeCalendrier,4,7),1),"jjj")</f>
        <v>mar</v>
      </c>
      <c r="J5" s="15" t="str">
        <f>TEXT(WEEKDAY(DATE(AnnéeCalendrier,4,8),1),"jjj")</f>
        <v>mer</v>
      </c>
      <c r="K5" s="15" t="str">
        <f>TEXT(WEEKDAY(DATE(AnnéeCalendrier,4,9),1),"jjj")</f>
        <v>jeu</v>
      </c>
      <c r="L5" s="15" t="str">
        <f>TEXT(WEEKDAY(DATE(AnnéeCalendrier,4,10),1),"jjj")</f>
        <v>ven</v>
      </c>
      <c r="M5" s="15" t="str">
        <f>TEXT(WEEKDAY(DATE(AnnéeCalendrier,4,11),1),"jjj")</f>
        <v>sam</v>
      </c>
      <c r="N5" s="15" t="str">
        <f>TEXT(WEEKDAY(DATE(AnnéeCalendrier,4,12),1),"jjj")</f>
        <v>dim</v>
      </c>
      <c r="O5" s="15" t="str">
        <f>TEXT(WEEKDAY(DATE(AnnéeCalendrier,4,13),1),"jjj")</f>
        <v>lun</v>
      </c>
      <c r="P5" s="15" t="str">
        <f>TEXT(WEEKDAY(DATE(AnnéeCalendrier,4,14),1),"jjj")</f>
        <v>mar</v>
      </c>
      <c r="Q5" s="15" t="str">
        <f>TEXT(WEEKDAY(DATE(AnnéeCalendrier,4,15),1),"jjj")</f>
        <v>mer</v>
      </c>
      <c r="R5" s="15" t="str">
        <f>TEXT(WEEKDAY(DATE(AnnéeCalendrier,4,16),1),"jjj")</f>
        <v>jeu</v>
      </c>
      <c r="S5" s="15" t="str">
        <f>TEXT(WEEKDAY(DATE(AnnéeCalendrier,4,17),1),"jjj")</f>
        <v>ven</v>
      </c>
      <c r="T5" s="15" t="str">
        <f>TEXT(WEEKDAY(DATE(AnnéeCalendrier,4,18),1),"jjj")</f>
        <v>sam</v>
      </c>
      <c r="U5" s="15" t="str">
        <f>TEXT(WEEKDAY(DATE(AnnéeCalendrier,4,19),1),"jjj")</f>
        <v>dim</v>
      </c>
      <c r="V5" s="15" t="str">
        <f>TEXT(WEEKDAY(DATE(AnnéeCalendrier,4,20),1),"jjj")</f>
        <v>lun</v>
      </c>
      <c r="W5" s="15" t="str">
        <f>TEXT(WEEKDAY(DATE(AnnéeCalendrier,4,21),1),"jjj")</f>
        <v>mar</v>
      </c>
      <c r="X5" s="15" t="str">
        <f>TEXT(WEEKDAY(DATE(AnnéeCalendrier,4,22),1),"jjj")</f>
        <v>mer</v>
      </c>
      <c r="Y5" s="15" t="str">
        <f>TEXT(WEEKDAY(DATE(AnnéeCalendrier,4,23),1),"jjj")</f>
        <v>jeu</v>
      </c>
      <c r="Z5" s="15" t="str">
        <f>TEXT(WEEKDAY(DATE(AnnéeCalendrier,4,24),1),"jjj")</f>
        <v>ven</v>
      </c>
      <c r="AA5" s="15" t="str">
        <f>TEXT(WEEKDAY(DATE(AnnéeCalendrier,4,25),1),"jjj")</f>
        <v>sam</v>
      </c>
      <c r="AB5" s="15" t="str">
        <f>TEXT(WEEKDAY(DATE(AnnéeCalendrier,4,26),1),"jjj")</f>
        <v>dim</v>
      </c>
      <c r="AC5" s="15" t="str">
        <f>TEXT(WEEKDAY(DATE(AnnéeCalendrier,4,27),1),"jjj")</f>
        <v>lun</v>
      </c>
      <c r="AD5" s="15" t="str">
        <f>TEXT(WEEKDAY(DATE(AnnéeCalendrier,4,28),1),"jjj")</f>
        <v>mar</v>
      </c>
      <c r="AE5" s="15" t="str">
        <f>TEXT(WEEKDAY(DATE(AnnéeCalendrier,4,29),1),"jjj")</f>
        <v>mer</v>
      </c>
      <c r="AF5" s="15" t="str">
        <f>TEXT(WEEKDAY(DATE(AnnéeCalendrier,4,30),1),"jjj")</f>
        <v>jeu</v>
      </c>
      <c r="AG5" s="15"/>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28" t="s">
        <v>38</v>
      </c>
      <c r="AH6" s="18" t="s">
        <v>36</v>
      </c>
    </row>
    <row r="7" spans="1:34" ht="30" customHeight="1" x14ac:dyDescent="0.25">
      <c r="B7" s="27" t="s">
        <v>58</v>
      </c>
      <c r="C7" s="17"/>
      <c r="D7" s="17"/>
      <c r="E7" s="20"/>
      <c r="F7" s="20"/>
      <c r="G7" s="17"/>
      <c r="H7" s="17"/>
      <c r="I7" s="17"/>
      <c r="J7" s="17"/>
      <c r="K7" s="17"/>
      <c r="L7" s="20"/>
      <c r="M7" s="20"/>
      <c r="N7" s="17"/>
      <c r="O7" s="20"/>
      <c r="P7" s="17"/>
      <c r="Q7" s="17"/>
      <c r="R7" s="17"/>
      <c r="S7" s="20"/>
      <c r="T7" s="20"/>
      <c r="U7" s="17"/>
      <c r="V7" s="17"/>
      <c r="W7" s="17"/>
      <c r="X7" s="17"/>
      <c r="Y7" s="17"/>
      <c r="Z7" s="20"/>
      <c r="AA7" s="20"/>
      <c r="AB7" s="17"/>
      <c r="AC7" s="17"/>
      <c r="AD7" s="17"/>
      <c r="AE7" s="17"/>
      <c r="AF7" s="17"/>
      <c r="AG7" s="17"/>
      <c r="AH7" s="21">
        <f>COUNTA(Avril[[#This Row],[1]:[30]])</f>
        <v>0</v>
      </c>
    </row>
    <row r="8" spans="1:34" ht="30" customHeight="1" x14ac:dyDescent="0.25">
      <c r="B8" s="27" t="s">
        <v>59</v>
      </c>
      <c r="C8" s="17"/>
      <c r="D8" s="17"/>
      <c r="E8" s="20"/>
      <c r="F8" s="20"/>
      <c r="G8" s="17"/>
      <c r="H8" s="17"/>
      <c r="I8" s="17"/>
      <c r="J8" s="17"/>
      <c r="K8" s="17"/>
      <c r="L8" s="20"/>
      <c r="M8" s="20"/>
      <c r="N8" s="17"/>
      <c r="O8" s="20"/>
      <c r="P8" s="17"/>
      <c r="Q8" s="17"/>
      <c r="R8" s="17"/>
      <c r="S8" s="20"/>
      <c r="T8" s="20"/>
      <c r="U8" s="17"/>
      <c r="V8" s="17"/>
      <c r="W8" s="17"/>
      <c r="X8" s="17"/>
      <c r="Y8" s="17"/>
      <c r="Z8" s="20"/>
      <c r="AA8" s="20"/>
      <c r="AB8" s="17"/>
      <c r="AC8" s="17"/>
      <c r="AD8" s="17"/>
      <c r="AE8" s="17"/>
      <c r="AF8" s="17"/>
      <c r="AG8" s="17"/>
      <c r="AH8" s="21">
        <f>COUNTA(Avril[[#This Row],[1]:[30]])</f>
        <v>0</v>
      </c>
    </row>
    <row r="9" spans="1:34" ht="30" customHeight="1" x14ac:dyDescent="0.25">
      <c r="B9" s="27" t="s">
        <v>60</v>
      </c>
      <c r="C9" s="17"/>
      <c r="D9" s="17"/>
      <c r="E9" s="20"/>
      <c r="F9" s="20"/>
      <c r="G9" s="17"/>
      <c r="H9" s="17"/>
      <c r="I9" s="17"/>
      <c r="J9" s="17"/>
      <c r="K9" s="17"/>
      <c r="L9" s="20"/>
      <c r="M9" s="20"/>
      <c r="N9" s="17"/>
      <c r="O9" s="20"/>
      <c r="P9" s="17"/>
      <c r="Q9" s="17"/>
      <c r="R9" s="17"/>
      <c r="S9" s="20"/>
      <c r="T9" s="20"/>
      <c r="U9" s="17"/>
      <c r="V9" s="17"/>
      <c r="W9" s="17"/>
      <c r="X9" s="17"/>
      <c r="Y9" s="17"/>
      <c r="Z9" s="20"/>
      <c r="AA9" s="20"/>
      <c r="AB9" s="17"/>
      <c r="AC9" s="17"/>
      <c r="AD9" s="17"/>
      <c r="AE9" s="17"/>
      <c r="AF9" s="17"/>
      <c r="AG9" s="17"/>
      <c r="AH9" s="21">
        <f>COUNTA(Avril[[#This Row],[1]:[30]])</f>
        <v>0</v>
      </c>
    </row>
    <row r="10" spans="1:34" ht="30" customHeight="1" x14ac:dyDescent="0.25">
      <c r="B10" s="22" t="str">
        <f>NomMois&amp;" Total"</f>
        <v>Avril Total</v>
      </c>
      <c r="C10" s="24">
        <f>SUBTOTAL(103,Avril[1])</f>
        <v>0</v>
      </c>
      <c r="D10" s="24">
        <f>SUBTOTAL(103,Avril[2])</f>
        <v>0</v>
      </c>
      <c r="E10" s="23">
        <f>SUBTOTAL(103,'2020-Janvier'!$D$7:$D$9)</f>
        <v>0</v>
      </c>
      <c r="F10" s="23">
        <f>SUBTOTAL(103,'2020-Janvier'!$E$7:$E$9)</f>
        <v>0</v>
      </c>
      <c r="G10" s="24">
        <f>SUBTOTAL(103,Avril[5])</f>
        <v>0</v>
      </c>
      <c r="H10" s="24">
        <f>SUBTOTAL(103,Avril[6])</f>
        <v>0</v>
      </c>
      <c r="I10" s="24">
        <f>SUBTOTAL(103,Avril[7])</f>
        <v>0</v>
      </c>
      <c r="J10" s="24">
        <f>SUBTOTAL(103,Avril[8])</f>
        <v>0</v>
      </c>
      <c r="K10" s="24">
        <f>SUBTOTAL(103,Avril[9])</f>
        <v>0</v>
      </c>
      <c r="L10" s="23">
        <f>SUBTOTAL(103,'2020-Janvier'!$D$7:$D$9)</f>
        <v>0</v>
      </c>
      <c r="M10" s="23">
        <f>SUBTOTAL(103,'2020-Janvier'!$E$7:$E$9)</f>
        <v>0</v>
      </c>
      <c r="N10" s="24">
        <f>SUBTOTAL(103,Avril[12])</f>
        <v>0</v>
      </c>
      <c r="O10" s="23">
        <f>SUBTOTAL(103,'2020-Janvier'!$E$7:$E$9)</f>
        <v>0</v>
      </c>
      <c r="P10" s="24">
        <f>SUBTOTAL(103,Avril[14])</f>
        <v>0</v>
      </c>
      <c r="Q10" s="24">
        <f>SUBTOTAL(103,Avril[15])</f>
        <v>0</v>
      </c>
      <c r="R10" s="24">
        <f>SUBTOTAL(103,Avril[16])</f>
        <v>0</v>
      </c>
      <c r="S10" s="23">
        <f>SUBTOTAL(103,'2020-Janvier'!$D$7:$D$9)</f>
        <v>0</v>
      </c>
      <c r="T10" s="23">
        <f>SUBTOTAL(103,'2020-Janvier'!$E$7:$E$9)</f>
        <v>0</v>
      </c>
      <c r="U10" s="24">
        <f>SUBTOTAL(103,Avril[19])</f>
        <v>0</v>
      </c>
      <c r="V10" s="24">
        <f>SUBTOTAL(103,Avril[20])</f>
        <v>0</v>
      </c>
      <c r="W10" s="24">
        <f>SUBTOTAL(103,Avril[21])</f>
        <v>0</v>
      </c>
      <c r="X10" s="24">
        <f>SUBTOTAL(103,Avril[22])</f>
        <v>0</v>
      </c>
      <c r="Y10" s="24">
        <f>SUBTOTAL(103,Avril[23])</f>
        <v>0</v>
      </c>
      <c r="Z10" s="23">
        <f>SUBTOTAL(103,'2020-Janvier'!$D$7:$D$9)</f>
        <v>0</v>
      </c>
      <c r="AA10" s="23">
        <f>SUBTOTAL(103,'2020-Janvier'!$E$7:$E$9)</f>
        <v>0</v>
      </c>
      <c r="AB10" s="24">
        <f>SUBTOTAL(103,Avril[26])</f>
        <v>0</v>
      </c>
      <c r="AC10" s="24">
        <f>SUBTOTAL(103,Avril[27])</f>
        <v>0</v>
      </c>
      <c r="AD10" s="24">
        <f>SUBTOTAL(103,Avril[28])</f>
        <v>0</v>
      </c>
      <c r="AE10" s="24">
        <f>SUBTOTAL(103,Avril[29])</f>
        <v>0</v>
      </c>
      <c r="AF10" s="24">
        <f>SUBTOTAL(103,Avril[30])</f>
        <v>0</v>
      </c>
      <c r="AG10" s="24">
        <f>SUBTOTAL(103,Avril[30])</f>
        <v>0</v>
      </c>
      <c r="AH10" s="24">
        <f>SUBTOTAL(109,Avril[Total des jours])</f>
        <v>0</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E2:G2"/>
    <mergeCell ref="I2:K2"/>
    <mergeCell ref="M2:O2"/>
    <mergeCell ref="AG12:AH12"/>
  </mergeCells>
  <conditionalFormatting sqref="AH7:AH9">
    <cfRule type="dataBar" priority="191">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conditionalFormatting sqref="C7:AG9">
    <cfRule type="expression" priority="1" stopIfTrue="1">
      <formula>C7=""</formula>
    </cfRule>
    <cfRule type="cellIs" dxfId="760" priority="2" stopIfTrue="1" operator="equal">
      <formula>"A"</formula>
    </cfRule>
    <cfRule type="cellIs" dxfId="759" priority="3" stopIfTrue="1" operator="equal">
      <formula>"M"</formula>
    </cfRule>
    <cfRule type="cellIs" dxfId="758" priority="4" stopIfTrue="1" operator="equal">
      <formula>"J"</formula>
    </cfRule>
  </conditionalFormatting>
  <dataValidations count="1">
    <dataValidation allowBlank="1" showErrorMessage="1" sqref="AH3 A1:B1 L2 H2 D2 B2" xr:uid="{072E377E-981B-4180-8504-649C1C33C8A3}"/>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E000000}">
          <x14:formula1>
            <xm:f>'Noms des employés'!$B$4:$B$6</xm:f>
          </x14:formula1>
          <xm:sqref>B7:B9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theme="2" tint="-9.9978637043366805E-2"/>
  </sheetPr>
  <dimension ref="A1:AH13"/>
  <sheetViews>
    <sheetView showGridLines="0" zoomScaleNormal="100" workbookViewId="0">
      <selection activeCell="W20" sqref="W20"/>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61</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42</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TEXT(WEEKDAY(DATE(AnnéeCalendrier,5,1),1),"jjj")</f>
        <v>ven</v>
      </c>
      <c r="D5" s="15" t="str">
        <f>TEXT(WEEKDAY(DATE(AnnéeCalendrier,5,2),1),"jjj")</f>
        <v>sam</v>
      </c>
      <c r="E5" s="15" t="str">
        <f>TEXT(WEEKDAY(DATE(AnnéeCalendrier,5,3),1),"jjj")</f>
        <v>dim</v>
      </c>
      <c r="F5" s="15" t="str">
        <f>TEXT(WEEKDAY(DATE(AnnéeCalendrier,5,4),1),"jjj")</f>
        <v>lun</v>
      </c>
      <c r="G5" s="15" t="str">
        <f>TEXT(WEEKDAY(DATE(AnnéeCalendrier,5,5),1),"jjj")</f>
        <v>mar</v>
      </c>
      <c r="H5" s="15" t="str">
        <f>TEXT(WEEKDAY(DATE(AnnéeCalendrier,5,6),1),"jjj")</f>
        <v>mer</v>
      </c>
      <c r="I5" s="15" t="str">
        <f>TEXT(WEEKDAY(DATE(AnnéeCalendrier,5,7),1),"jjj")</f>
        <v>jeu</v>
      </c>
      <c r="J5" s="15" t="str">
        <f>TEXT(WEEKDAY(DATE(AnnéeCalendrier,5,8),1),"jjj")</f>
        <v>ven</v>
      </c>
      <c r="K5" s="15" t="str">
        <f>TEXT(WEEKDAY(DATE(AnnéeCalendrier,5,9),1),"jjj")</f>
        <v>sam</v>
      </c>
      <c r="L5" s="15" t="str">
        <f>TEXT(WEEKDAY(DATE(AnnéeCalendrier,5,10),1),"jjj")</f>
        <v>dim</v>
      </c>
      <c r="M5" s="15" t="str">
        <f>TEXT(WEEKDAY(DATE(AnnéeCalendrier,5,11),1),"jjj")</f>
        <v>lun</v>
      </c>
      <c r="N5" s="15" t="str">
        <f>TEXT(WEEKDAY(DATE(AnnéeCalendrier,5,12),1),"jjj")</f>
        <v>mar</v>
      </c>
      <c r="O5" s="15" t="str">
        <f>TEXT(WEEKDAY(DATE(AnnéeCalendrier,5,13),1),"jjj")</f>
        <v>mer</v>
      </c>
      <c r="P5" s="15" t="str">
        <f>TEXT(WEEKDAY(DATE(AnnéeCalendrier,5,14),1),"jjj")</f>
        <v>jeu</v>
      </c>
      <c r="Q5" s="15" t="str">
        <f>TEXT(WEEKDAY(DATE(AnnéeCalendrier,5,15),1),"jjj")</f>
        <v>ven</v>
      </c>
      <c r="R5" s="15" t="str">
        <f>TEXT(WEEKDAY(DATE(AnnéeCalendrier,5,16),1),"jjj")</f>
        <v>sam</v>
      </c>
      <c r="S5" s="15" t="str">
        <f>TEXT(WEEKDAY(DATE(AnnéeCalendrier,5,17),1),"jjj")</f>
        <v>dim</v>
      </c>
      <c r="T5" s="15" t="str">
        <f>TEXT(WEEKDAY(DATE(AnnéeCalendrier,5,18),1),"jjj")</f>
        <v>lun</v>
      </c>
      <c r="U5" s="15" t="str">
        <f>TEXT(WEEKDAY(DATE(AnnéeCalendrier,5,19),1),"jjj")</f>
        <v>mar</v>
      </c>
      <c r="V5" s="15" t="str">
        <f>TEXT(WEEKDAY(DATE(AnnéeCalendrier,5,20),1),"jjj")</f>
        <v>mer</v>
      </c>
      <c r="W5" s="15" t="str">
        <f>TEXT(WEEKDAY(DATE(AnnéeCalendrier,5,21),1),"jjj")</f>
        <v>jeu</v>
      </c>
      <c r="X5" s="15" t="str">
        <f>TEXT(WEEKDAY(DATE(AnnéeCalendrier,5,22),1),"jjj")</f>
        <v>ven</v>
      </c>
      <c r="Y5" s="15" t="str">
        <f>TEXT(WEEKDAY(DATE(AnnéeCalendrier,5,23),1),"jjj")</f>
        <v>sam</v>
      </c>
      <c r="Z5" s="15" t="str">
        <f>TEXT(WEEKDAY(DATE(AnnéeCalendrier,5,24),1),"jjj")</f>
        <v>dim</v>
      </c>
      <c r="AA5" s="15" t="str">
        <f>TEXT(WEEKDAY(DATE(AnnéeCalendrier,5,25),1),"jjj")</f>
        <v>lun</v>
      </c>
      <c r="AB5" s="15" t="str">
        <f>TEXT(WEEKDAY(DATE(AnnéeCalendrier,5,26),1),"jjj")</f>
        <v>mar</v>
      </c>
      <c r="AC5" s="15" t="str">
        <f>TEXT(WEEKDAY(DATE(AnnéeCalendrier,5,27),1),"jjj")</f>
        <v>mer</v>
      </c>
      <c r="AD5" s="15" t="str">
        <f>TEXT(WEEKDAY(DATE(AnnéeCalendrier,5,28),1),"jjj")</f>
        <v>jeu</v>
      </c>
      <c r="AE5" s="15" t="str">
        <f>TEXT(WEEKDAY(DATE(AnnéeCalendrier,5,29),1),"jjj")</f>
        <v>ven</v>
      </c>
      <c r="AF5" s="15" t="str">
        <f>TEXT(WEEKDAY(DATE(AnnéeCalendrier,5,30),1),"jjj")</f>
        <v>sam</v>
      </c>
      <c r="AG5" s="15" t="str">
        <f>TEXT(WEEKDAY(DATE(AnnéeCalendrier,5,31),1),"jjj")</f>
        <v>dim</v>
      </c>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17" t="s">
        <v>34</v>
      </c>
      <c r="AH6" s="18" t="s">
        <v>36</v>
      </c>
    </row>
    <row r="7" spans="1:34" ht="30" customHeight="1" x14ac:dyDescent="0.25">
      <c r="B7" s="27" t="s">
        <v>58</v>
      </c>
      <c r="C7" s="20"/>
      <c r="D7" s="20"/>
      <c r="E7" s="17"/>
      <c r="F7" s="17"/>
      <c r="G7" s="17"/>
      <c r="H7" s="17"/>
      <c r="I7" s="17"/>
      <c r="J7" s="20"/>
      <c r="K7" s="20"/>
      <c r="L7" s="17"/>
      <c r="M7" s="17"/>
      <c r="N7" s="17"/>
      <c r="O7" s="17"/>
      <c r="P7" s="17"/>
      <c r="Q7" s="20"/>
      <c r="R7" s="20"/>
      <c r="S7" s="17"/>
      <c r="T7" s="17"/>
      <c r="U7" s="17"/>
      <c r="V7" s="17"/>
      <c r="W7" s="20"/>
      <c r="X7" s="20"/>
      <c r="Y7" s="20"/>
      <c r="Z7" s="17"/>
      <c r="AA7" s="17"/>
      <c r="AB7" s="17"/>
      <c r="AC7" s="17"/>
      <c r="AD7" s="17"/>
      <c r="AE7" s="20"/>
      <c r="AF7" s="20"/>
      <c r="AG7" s="17"/>
      <c r="AH7" s="21">
        <f>COUNTA(Mai[[#This Row],[1]:[31]])</f>
        <v>0</v>
      </c>
    </row>
    <row r="8" spans="1:34" ht="30" customHeight="1" x14ac:dyDescent="0.25">
      <c r="B8" s="27" t="s">
        <v>59</v>
      </c>
      <c r="C8" s="20"/>
      <c r="D8" s="20"/>
      <c r="E8" s="17"/>
      <c r="F8" s="17"/>
      <c r="G8" s="17"/>
      <c r="H8" s="17"/>
      <c r="I8" s="17"/>
      <c r="J8" s="20"/>
      <c r="K8" s="20"/>
      <c r="L8" s="17"/>
      <c r="M8" s="17"/>
      <c r="N8" s="17"/>
      <c r="O8" s="17"/>
      <c r="P8" s="17"/>
      <c r="Q8" s="20"/>
      <c r="R8" s="20"/>
      <c r="S8" s="17"/>
      <c r="T8" s="17"/>
      <c r="U8" s="17"/>
      <c r="V8" s="17"/>
      <c r="W8" s="20"/>
      <c r="X8" s="20"/>
      <c r="Y8" s="20"/>
      <c r="Z8" s="17"/>
      <c r="AA8" s="17"/>
      <c r="AB8" s="17"/>
      <c r="AC8" s="17"/>
      <c r="AD8" s="17"/>
      <c r="AE8" s="20"/>
      <c r="AF8" s="20"/>
      <c r="AG8" s="17"/>
      <c r="AH8" s="21">
        <f>COUNTA(Mai[[#This Row],[1]:[31]])</f>
        <v>0</v>
      </c>
    </row>
    <row r="9" spans="1:34" ht="30" customHeight="1" x14ac:dyDescent="0.25">
      <c r="B9" s="27" t="s">
        <v>60</v>
      </c>
      <c r="C9" s="20"/>
      <c r="D9" s="20"/>
      <c r="E9" s="17"/>
      <c r="F9" s="17"/>
      <c r="G9" s="17"/>
      <c r="H9" s="17"/>
      <c r="I9" s="17"/>
      <c r="J9" s="20"/>
      <c r="K9" s="20"/>
      <c r="L9" s="17"/>
      <c r="M9" s="17"/>
      <c r="N9" s="17"/>
      <c r="O9" s="17"/>
      <c r="P9" s="17"/>
      <c r="Q9" s="20"/>
      <c r="R9" s="20"/>
      <c r="S9" s="17"/>
      <c r="T9" s="17"/>
      <c r="U9" s="17"/>
      <c r="V9" s="17"/>
      <c r="W9" s="20"/>
      <c r="X9" s="20"/>
      <c r="Y9" s="20"/>
      <c r="Z9" s="17"/>
      <c r="AA9" s="17"/>
      <c r="AB9" s="17"/>
      <c r="AC9" s="17"/>
      <c r="AD9" s="17"/>
      <c r="AE9" s="20"/>
      <c r="AF9" s="20"/>
      <c r="AG9" s="17"/>
      <c r="AH9" s="21">
        <f>COUNTA(Mai[[#This Row],[1]:[31]])</f>
        <v>0</v>
      </c>
    </row>
    <row r="10" spans="1:34" ht="30" customHeight="1" x14ac:dyDescent="0.25">
      <c r="B10" s="22" t="str">
        <f>NomMois&amp;" Total"</f>
        <v>Mai Total</v>
      </c>
      <c r="C10" s="23">
        <f>SUBTOTAL(103,'2020-Janvier'!$D$7:$D$9)</f>
        <v>0</v>
      </c>
      <c r="D10" s="23">
        <f>SUBTOTAL(103,'2020-Janvier'!$E$7:$E$9)</f>
        <v>0</v>
      </c>
      <c r="E10" s="24">
        <f>SUBTOTAL(103,Mai[3])</f>
        <v>0</v>
      </c>
      <c r="F10" s="24">
        <f>SUBTOTAL(103,Mai[4])</f>
        <v>0</v>
      </c>
      <c r="G10" s="24">
        <f>SUBTOTAL(103,Mai[5])</f>
        <v>0</v>
      </c>
      <c r="H10" s="24">
        <f>SUBTOTAL(103,Mai[6])</f>
        <v>0</v>
      </c>
      <c r="I10" s="24">
        <f>SUBTOTAL(103,Mai[7])</f>
        <v>0</v>
      </c>
      <c r="J10" s="23">
        <f>SUBTOTAL(103,'2020-Janvier'!$D$7:$D$9)</f>
        <v>0</v>
      </c>
      <c r="K10" s="23">
        <f>SUBTOTAL(103,'2020-Janvier'!$E$7:$E$9)</f>
        <v>0</v>
      </c>
      <c r="L10" s="24">
        <f>SUBTOTAL(103,Mai[10])</f>
        <v>0</v>
      </c>
      <c r="M10" s="24">
        <f>SUBTOTAL(103,Mai[11])</f>
        <v>0</v>
      </c>
      <c r="N10" s="24">
        <f>SUBTOTAL(103,Mai[12])</f>
        <v>0</v>
      </c>
      <c r="O10" s="24">
        <f>SUBTOTAL(103,Mai[13])</f>
        <v>0</v>
      </c>
      <c r="P10" s="24">
        <f>SUBTOTAL(103,Mai[14])</f>
        <v>0</v>
      </c>
      <c r="Q10" s="23">
        <f>SUBTOTAL(103,'2020-Janvier'!$D$7:$D$9)</f>
        <v>0</v>
      </c>
      <c r="R10" s="23">
        <f>SUBTOTAL(103,'2020-Janvier'!$E$7:$E$9)</f>
        <v>0</v>
      </c>
      <c r="S10" s="24">
        <f>SUBTOTAL(103,Mai[17])</f>
        <v>0</v>
      </c>
      <c r="T10" s="24">
        <f>SUBTOTAL(103,Mai[18])</f>
        <v>0</v>
      </c>
      <c r="U10" s="24">
        <f>SUBTOTAL(103,Mai[19])</f>
        <v>0</v>
      </c>
      <c r="V10" s="24">
        <f>SUBTOTAL(103,Mai[20])</f>
        <v>0</v>
      </c>
      <c r="W10" s="23">
        <f>SUBTOTAL(103,'2020-Janvier'!$E$7:$E$9)</f>
        <v>0</v>
      </c>
      <c r="X10" s="23">
        <f>SUBTOTAL(103,'2020-Janvier'!$D$7:$D$9)</f>
        <v>0</v>
      </c>
      <c r="Y10" s="23">
        <f>SUBTOTAL(103,'2020-Janvier'!$E$7:$E$9)</f>
        <v>0</v>
      </c>
      <c r="Z10" s="24">
        <f>SUBTOTAL(103,Mai[24])</f>
        <v>0</v>
      </c>
      <c r="AA10" s="24">
        <f>SUBTOTAL(103,Mai[25])</f>
        <v>0</v>
      </c>
      <c r="AB10" s="24">
        <f>SUBTOTAL(103,Mai[26])</f>
        <v>0</v>
      </c>
      <c r="AC10" s="24">
        <f>SUBTOTAL(103,Mai[27])</f>
        <v>0</v>
      </c>
      <c r="AD10" s="24">
        <f>SUBTOTAL(103,Mai[28])</f>
        <v>0</v>
      </c>
      <c r="AE10" s="23">
        <f>SUBTOTAL(103,'2020-Janvier'!$D$7:$D$9)</f>
        <v>0</v>
      </c>
      <c r="AF10" s="23">
        <f>SUBTOTAL(103,'2020-Janvier'!$E$7:$E$9)</f>
        <v>0</v>
      </c>
      <c r="AG10" s="24">
        <f>SUBTOTAL(103,Mai[31])</f>
        <v>0</v>
      </c>
      <c r="AH10" s="24">
        <f>SUBTOTAL(109,Mai[Total des jours])</f>
        <v>0</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E2:G2"/>
    <mergeCell ref="I2:K2"/>
    <mergeCell ref="M2:O2"/>
    <mergeCell ref="AG12:AH12"/>
  </mergeCells>
  <conditionalFormatting sqref="AH7:AH9">
    <cfRule type="dataBar" priority="196">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conditionalFormatting sqref="C7:AG9">
    <cfRule type="expression" priority="1" stopIfTrue="1">
      <formula>C7=""</formula>
    </cfRule>
    <cfRule type="cellIs" dxfId="688" priority="2" stopIfTrue="1" operator="equal">
      <formula>"A"</formula>
    </cfRule>
    <cfRule type="cellIs" dxfId="687" priority="3" stopIfTrue="1" operator="equal">
      <formula>"M"</formula>
    </cfRule>
    <cfRule type="cellIs" dxfId="686" priority="4" stopIfTrue="1" operator="equal">
      <formula>"J"</formula>
    </cfRule>
  </conditionalFormatting>
  <dataValidations count="1">
    <dataValidation allowBlank="1" showErrorMessage="1" sqref="AH3 A1:B1 L2 H2 D2 B2" xr:uid="{985749AD-BAE9-4507-8878-CBE6C1426800}"/>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E000000}">
          <x14:formula1>
            <xm:f>'Noms des employés'!$B$4:$B$6</xm:f>
          </x14:formula1>
          <xm:sqref>B7:B9</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2"/>
  </sheetPr>
  <dimension ref="A1:AH13"/>
  <sheetViews>
    <sheetView showGridLines="0" zoomScaleNormal="100" workbookViewId="0">
      <selection activeCell="W20" sqref="W20"/>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61</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43</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TEXT(WEEKDAY(DATE(AnnéeCalendrier,6,1),1),"jjj")</f>
        <v>lun</v>
      </c>
      <c r="D5" s="15" t="str">
        <f>TEXT(WEEKDAY(DATE(AnnéeCalendrier,6,2),1),"jjj")</f>
        <v>mar</v>
      </c>
      <c r="E5" s="15" t="str">
        <f>TEXT(WEEKDAY(DATE(AnnéeCalendrier,6,3),1),"jjj")</f>
        <v>mer</v>
      </c>
      <c r="F5" s="15" t="str">
        <f>TEXT(WEEKDAY(DATE(AnnéeCalendrier,6,4),1),"jjj")</f>
        <v>jeu</v>
      </c>
      <c r="G5" s="15" t="str">
        <f>TEXT(WEEKDAY(DATE(AnnéeCalendrier,6,5),1),"jjj")</f>
        <v>ven</v>
      </c>
      <c r="H5" s="15" t="str">
        <f>TEXT(WEEKDAY(DATE(AnnéeCalendrier,6,6),1),"jjj")</f>
        <v>sam</v>
      </c>
      <c r="I5" s="15" t="str">
        <f>TEXT(WEEKDAY(DATE(AnnéeCalendrier,6,7),1),"jjj")</f>
        <v>dim</v>
      </c>
      <c r="J5" s="15" t="str">
        <f>TEXT(WEEKDAY(DATE(AnnéeCalendrier,6,8),1),"jjj")</f>
        <v>lun</v>
      </c>
      <c r="K5" s="15" t="str">
        <f>TEXT(WEEKDAY(DATE(AnnéeCalendrier,6,9),1),"jjj")</f>
        <v>mar</v>
      </c>
      <c r="L5" s="15" t="str">
        <f>TEXT(WEEKDAY(DATE(AnnéeCalendrier,6,10),1),"jjj")</f>
        <v>mer</v>
      </c>
      <c r="M5" s="15" t="str">
        <f>TEXT(WEEKDAY(DATE(AnnéeCalendrier,6,11),1),"jjj")</f>
        <v>jeu</v>
      </c>
      <c r="N5" s="15" t="str">
        <f>TEXT(WEEKDAY(DATE(AnnéeCalendrier,6,12),1),"jjj")</f>
        <v>ven</v>
      </c>
      <c r="O5" s="15" t="str">
        <f>TEXT(WEEKDAY(DATE(AnnéeCalendrier,6,13),1),"jjj")</f>
        <v>sam</v>
      </c>
      <c r="P5" s="15" t="str">
        <f>TEXT(WEEKDAY(DATE(AnnéeCalendrier,6,14),1),"jjj")</f>
        <v>dim</v>
      </c>
      <c r="Q5" s="15" t="str">
        <f>TEXT(WEEKDAY(DATE(AnnéeCalendrier,6,15),1),"jjj")</f>
        <v>lun</v>
      </c>
      <c r="R5" s="15" t="str">
        <f>TEXT(WEEKDAY(DATE(AnnéeCalendrier,6,16),1),"jjj")</f>
        <v>mar</v>
      </c>
      <c r="S5" s="15" t="str">
        <f>TEXT(WEEKDAY(DATE(AnnéeCalendrier,6,17),1),"jjj")</f>
        <v>mer</v>
      </c>
      <c r="T5" s="15" t="str">
        <f>TEXT(WEEKDAY(DATE(AnnéeCalendrier,6,18),1),"jjj")</f>
        <v>jeu</v>
      </c>
      <c r="U5" s="15" t="str">
        <f>TEXT(WEEKDAY(DATE(AnnéeCalendrier,6,19),1),"jjj")</f>
        <v>ven</v>
      </c>
      <c r="V5" s="15" t="str">
        <f>TEXT(WEEKDAY(DATE(AnnéeCalendrier,6,20),1),"jjj")</f>
        <v>sam</v>
      </c>
      <c r="W5" s="15" t="str">
        <f>TEXT(WEEKDAY(DATE(AnnéeCalendrier,6,21),1),"jjj")</f>
        <v>dim</v>
      </c>
      <c r="X5" s="15" t="str">
        <f>TEXT(WEEKDAY(DATE(AnnéeCalendrier,6,22),1),"jjj")</f>
        <v>lun</v>
      </c>
      <c r="Y5" s="15" t="str">
        <f>TEXT(WEEKDAY(DATE(AnnéeCalendrier,6,23),1),"jjj")</f>
        <v>mar</v>
      </c>
      <c r="Z5" s="15" t="str">
        <f>TEXT(WEEKDAY(DATE(AnnéeCalendrier,6,24),1),"jjj")</f>
        <v>mer</v>
      </c>
      <c r="AA5" s="15" t="str">
        <f>TEXT(WEEKDAY(DATE(AnnéeCalendrier,6,25),1),"jjj")</f>
        <v>jeu</v>
      </c>
      <c r="AB5" s="15" t="str">
        <f>TEXT(WEEKDAY(DATE(AnnéeCalendrier,6,26),1),"jjj")</f>
        <v>ven</v>
      </c>
      <c r="AC5" s="15" t="str">
        <f>TEXT(WEEKDAY(DATE(AnnéeCalendrier,6,27),1),"jjj")</f>
        <v>sam</v>
      </c>
      <c r="AD5" s="15" t="str">
        <f>TEXT(WEEKDAY(DATE(AnnéeCalendrier,6,28),1),"jjj")</f>
        <v>dim</v>
      </c>
      <c r="AE5" s="15" t="str">
        <f>TEXT(WEEKDAY(DATE(AnnéeCalendrier,6,29),1),"jjj")</f>
        <v>lun</v>
      </c>
      <c r="AF5" s="15" t="str">
        <f>TEXT(WEEKDAY(DATE(AnnéeCalendrier,6,30),1),"jjj")</f>
        <v>mar</v>
      </c>
      <c r="AG5" s="15"/>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17" t="s">
        <v>38</v>
      </c>
      <c r="AH6" s="18" t="s">
        <v>36</v>
      </c>
    </row>
    <row r="7" spans="1:34" ht="30" customHeight="1" x14ac:dyDescent="0.25">
      <c r="B7" s="27" t="s">
        <v>58</v>
      </c>
      <c r="C7" s="20"/>
      <c r="D7" s="17"/>
      <c r="E7" s="17"/>
      <c r="F7" s="17"/>
      <c r="G7" s="20"/>
      <c r="H7" s="20"/>
      <c r="I7" s="17"/>
      <c r="J7" s="17"/>
      <c r="K7" s="17"/>
      <c r="L7" s="17"/>
      <c r="M7" s="17"/>
      <c r="N7" s="20"/>
      <c r="O7" s="20"/>
      <c r="P7" s="17"/>
      <c r="Q7" s="17"/>
      <c r="R7" s="17"/>
      <c r="S7" s="17"/>
      <c r="T7" s="17"/>
      <c r="U7" s="20"/>
      <c r="V7" s="20"/>
      <c r="W7" s="17"/>
      <c r="X7" s="17"/>
      <c r="Y7" s="17"/>
      <c r="Z7" s="17"/>
      <c r="AA7" s="17"/>
      <c r="AB7" s="20"/>
      <c r="AC7" s="20"/>
      <c r="AD7" s="17"/>
      <c r="AE7" s="17"/>
      <c r="AF7" s="17"/>
      <c r="AG7" s="17"/>
      <c r="AH7" s="21">
        <f>COUNTA(Juin[[#This Row],[1]:[30]])</f>
        <v>0</v>
      </c>
    </row>
    <row r="8" spans="1:34" ht="30" customHeight="1" x14ac:dyDescent="0.25">
      <c r="B8" s="27" t="s">
        <v>59</v>
      </c>
      <c r="C8" s="20"/>
      <c r="D8" s="17"/>
      <c r="E8" s="17"/>
      <c r="F8" s="17"/>
      <c r="G8" s="20"/>
      <c r="H8" s="20"/>
      <c r="I8" s="17"/>
      <c r="J8" s="17"/>
      <c r="K8" s="17"/>
      <c r="L8" s="17"/>
      <c r="M8" s="17"/>
      <c r="N8" s="20"/>
      <c r="O8" s="20"/>
      <c r="P8" s="17"/>
      <c r="Q8" s="17"/>
      <c r="R8" s="17"/>
      <c r="S8" s="17"/>
      <c r="T8" s="17"/>
      <c r="U8" s="20"/>
      <c r="V8" s="20"/>
      <c r="W8" s="17"/>
      <c r="X8" s="17"/>
      <c r="Y8" s="17"/>
      <c r="Z8" s="17"/>
      <c r="AA8" s="17"/>
      <c r="AB8" s="20"/>
      <c r="AC8" s="20"/>
      <c r="AD8" s="17"/>
      <c r="AE8" s="17"/>
      <c r="AF8" s="17"/>
      <c r="AG8" s="17"/>
      <c r="AH8" s="21">
        <f>COUNTA(Juin[[#This Row],[1]:[30]])</f>
        <v>0</v>
      </c>
    </row>
    <row r="9" spans="1:34" ht="30" customHeight="1" x14ac:dyDescent="0.25">
      <c r="B9" s="27" t="s">
        <v>60</v>
      </c>
      <c r="C9" s="20"/>
      <c r="D9" s="17"/>
      <c r="E9" s="17"/>
      <c r="F9" s="17"/>
      <c r="G9" s="20"/>
      <c r="H9" s="20"/>
      <c r="I9" s="17"/>
      <c r="J9" s="17"/>
      <c r="K9" s="17"/>
      <c r="L9" s="17"/>
      <c r="M9" s="17"/>
      <c r="N9" s="20"/>
      <c r="O9" s="20"/>
      <c r="P9" s="17"/>
      <c r="Q9" s="17"/>
      <c r="R9" s="17"/>
      <c r="S9" s="17"/>
      <c r="T9" s="17"/>
      <c r="U9" s="20"/>
      <c r="V9" s="20"/>
      <c r="W9" s="17"/>
      <c r="X9" s="17"/>
      <c r="Y9" s="17"/>
      <c r="Z9" s="17"/>
      <c r="AA9" s="17"/>
      <c r="AB9" s="20"/>
      <c r="AC9" s="20"/>
      <c r="AD9" s="17"/>
      <c r="AE9" s="17"/>
      <c r="AF9" s="17"/>
      <c r="AG9" s="17"/>
      <c r="AH9" s="21">
        <f>COUNTA(Juin[[#This Row],[1]:[30]])</f>
        <v>0</v>
      </c>
    </row>
    <row r="10" spans="1:34" ht="30" customHeight="1" x14ac:dyDescent="0.25">
      <c r="B10" s="22" t="str">
        <f>NomMois&amp;" Total"</f>
        <v>Juin Total</v>
      </c>
      <c r="C10" s="23">
        <f>SUBTOTAL(103,'2020-Janvier'!$E$7:$E$9)</f>
        <v>0</v>
      </c>
      <c r="D10" s="24">
        <f>SUBTOTAL(103,Juin[2])</f>
        <v>0</v>
      </c>
      <c r="E10" s="24">
        <f>SUBTOTAL(103,Juin[3])</f>
        <v>0</v>
      </c>
      <c r="F10" s="24">
        <f>SUBTOTAL(103,Juin[4])</f>
        <v>0</v>
      </c>
      <c r="G10" s="23">
        <f>SUBTOTAL(103,'2020-Janvier'!$D$7:$D$9)</f>
        <v>0</v>
      </c>
      <c r="H10" s="23">
        <f>SUBTOTAL(103,'2020-Janvier'!$E$7:$E$9)</f>
        <v>0</v>
      </c>
      <c r="I10" s="24">
        <f>SUBTOTAL(103,Juin[7])</f>
        <v>0</v>
      </c>
      <c r="J10" s="24">
        <f>SUBTOTAL(103,Juin[8])</f>
        <v>0</v>
      </c>
      <c r="K10" s="24">
        <f>SUBTOTAL(103,Juin[9])</f>
        <v>0</v>
      </c>
      <c r="L10" s="24">
        <f>SUBTOTAL(103,Juin[10])</f>
        <v>0</v>
      </c>
      <c r="M10" s="24">
        <f>SUBTOTAL(103,Juin[11])</f>
        <v>0</v>
      </c>
      <c r="N10" s="23">
        <f>SUBTOTAL(103,'2020-Janvier'!$D$7:$D$9)</f>
        <v>0</v>
      </c>
      <c r="O10" s="23">
        <f>SUBTOTAL(103,'2020-Janvier'!$E$7:$E$9)</f>
        <v>0</v>
      </c>
      <c r="P10" s="24">
        <f>SUBTOTAL(103,Juin[14])</f>
        <v>0</v>
      </c>
      <c r="Q10" s="24">
        <f>SUBTOTAL(103,Juin[15])</f>
        <v>0</v>
      </c>
      <c r="R10" s="24">
        <f>SUBTOTAL(103,Juin[16])</f>
        <v>0</v>
      </c>
      <c r="S10" s="24">
        <f>SUBTOTAL(103,Juin[17])</f>
        <v>0</v>
      </c>
      <c r="T10" s="24">
        <f>SUBTOTAL(103,Juin[18])</f>
        <v>0</v>
      </c>
      <c r="U10" s="23">
        <f>SUBTOTAL(103,'2020-Janvier'!$D$7:$D$9)</f>
        <v>0</v>
      </c>
      <c r="V10" s="23">
        <f>SUBTOTAL(103,'2020-Janvier'!$E$7:$E$9)</f>
        <v>0</v>
      </c>
      <c r="W10" s="24">
        <f>SUBTOTAL(103,Juin[21])</f>
        <v>0</v>
      </c>
      <c r="X10" s="24">
        <f>SUBTOTAL(103,Juin[22])</f>
        <v>0</v>
      </c>
      <c r="Y10" s="24">
        <f>SUBTOTAL(103,Juin[23])</f>
        <v>0</v>
      </c>
      <c r="Z10" s="24">
        <f>SUBTOTAL(103,Juin[24])</f>
        <v>0</v>
      </c>
      <c r="AA10" s="24">
        <f>SUBTOTAL(103,Juin[25])</f>
        <v>0</v>
      </c>
      <c r="AB10" s="23">
        <f>SUBTOTAL(103,'2020-Janvier'!$D$7:$D$9)</f>
        <v>0</v>
      </c>
      <c r="AC10" s="23">
        <f>SUBTOTAL(103,'2020-Janvier'!$E$7:$E$9)</f>
        <v>0</v>
      </c>
      <c r="AD10" s="24">
        <f>SUBTOTAL(103,Juin[28])</f>
        <v>0</v>
      </c>
      <c r="AE10" s="24">
        <f>SUBTOTAL(103,Juin[29])</f>
        <v>0</v>
      </c>
      <c r="AF10" s="24">
        <f>SUBTOTAL(103,Juin[30])</f>
        <v>0</v>
      </c>
      <c r="AG10" s="24">
        <f>SUBTOTAL(103,Juin[[ ]])</f>
        <v>0</v>
      </c>
      <c r="AH10" s="24">
        <f>SUBTOTAL(109,Juin[Total des jours])</f>
        <v>0</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E2:G2"/>
    <mergeCell ref="I2:K2"/>
    <mergeCell ref="M2:O2"/>
    <mergeCell ref="AG12:AH12"/>
  </mergeCells>
  <conditionalFormatting sqref="AH7:AH9">
    <cfRule type="dataBar" priority="193">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conditionalFormatting sqref="C7:AG9">
    <cfRule type="expression" priority="1" stopIfTrue="1">
      <formula>C7=""</formula>
    </cfRule>
    <cfRule type="cellIs" dxfId="616" priority="2" stopIfTrue="1" operator="equal">
      <formula>"A"</formula>
    </cfRule>
    <cfRule type="cellIs" dxfId="615" priority="3" stopIfTrue="1" operator="equal">
      <formula>"M"</formula>
    </cfRule>
    <cfRule type="cellIs" dxfId="614" priority="4" stopIfTrue="1" operator="equal">
      <formula>"J"</formula>
    </cfRule>
  </conditionalFormatting>
  <dataValidations count="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 allowBlank="1" showErrorMessage="1" sqref="AH3 A1:B1 L2 H2 D2 B2" xr:uid="{B98DE141-BD64-43F2-90E5-4BAB6DBCA57F}"/>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employés'!$B$4:$B$6</xm:f>
          </x14:formula1>
          <xm:sqref>B7:B9</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1"/>
  </sheetPr>
  <dimension ref="A1:AH13"/>
  <sheetViews>
    <sheetView showGridLines="0" zoomScaleNormal="100" workbookViewId="0">
      <selection activeCell="W20" sqref="W20"/>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61</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44</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TEXT(WEEKDAY(DATE(AnnéeCalendrier,7,1),1),"jjj")</f>
        <v>mer</v>
      </c>
      <c r="D5" s="15" t="str">
        <f>TEXT(WEEKDAY(DATE(AnnéeCalendrier,7,2),1),"jjj")</f>
        <v>jeu</v>
      </c>
      <c r="E5" s="15" t="str">
        <f>TEXT(WEEKDAY(DATE(AnnéeCalendrier,7,3),1),"jjj")</f>
        <v>ven</v>
      </c>
      <c r="F5" s="15" t="str">
        <f>TEXT(WEEKDAY(DATE(AnnéeCalendrier,7,4),1),"jjj")</f>
        <v>sam</v>
      </c>
      <c r="G5" s="15" t="str">
        <f>TEXT(WEEKDAY(DATE(AnnéeCalendrier,7,5),1),"jjj")</f>
        <v>dim</v>
      </c>
      <c r="H5" s="15" t="str">
        <f>TEXT(WEEKDAY(DATE(AnnéeCalendrier,7,6),1),"jjj")</f>
        <v>lun</v>
      </c>
      <c r="I5" s="15" t="str">
        <f>TEXT(WEEKDAY(DATE(AnnéeCalendrier,7,7),1),"jjj")</f>
        <v>mar</v>
      </c>
      <c r="J5" s="15" t="str">
        <f>TEXT(WEEKDAY(DATE(AnnéeCalendrier,7,8),1),"jjj")</f>
        <v>mer</v>
      </c>
      <c r="K5" s="15" t="str">
        <f>TEXT(WEEKDAY(DATE(AnnéeCalendrier,7,9),1),"jjj")</f>
        <v>jeu</v>
      </c>
      <c r="L5" s="15" t="str">
        <f>TEXT(WEEKDAY(DATE(AnnéeCalendrier,7,10),1),"jjj")</f>
        <v>ven</v>
      </c>
      <c r="M5" s="15" t="str">
        <f>TEXT(WEEKDAY(DATE(AnnéeCalendrier,7,11),1),"jjj")</f>
        <v>sam</v>
      </c>
      <c r="N5" s="15" t="str">
        <f>TEXT(WEEKDAY(DATE(AnnéeCalendrier,7,12),1),"jjj")</f>
        <v>dim</v>
      </c>
      <c r="O5" s="15" t="str">
        <f>TEXT(WEEKDAY(DATE(AnnéeCalendrier,7,13),1),"jjj")</f>
        <v>lun</v>
      </c>
      <c r="P5" s="15" t="str">
        <f>TEXT(WEEKDAY(DATE(AnnéeCalendrier,7,14),1),"jjj")</f>
        <v>mar</v>
      </c>
      <c r="Q5" s="15" t="str">
        <f>TEXT(WEEKDAY(DATE(AnnéeCalendrier,7,15),1),"jjj")</f>
        <v>mer</v>
      </c>
      <c r="R5" s="15" t="str">
        <f>TEXT(WEEKDAY(DATE(AnnéeCalendrier,7,16),1),"jjj")</f>
        <v>jeu</v>
      </c>
      <c r="S5" s="15" t="str">
        <f>TEXT(WEEKDAY(DATE(AnnéeCalendrier,7,17),1),"jjj")</f>
        <v>ven</v>
      </c>
      <c r="T5" s="15" t="str">
        <f>TEXT(WEEKDAY(DATE(AnnéeCalendrier,7,18),1),"jjj")</f>
        <v>sam</v>
      </c>
      <c r="U5" s="15" t="str">
        <f>TEXT(WEEKDAY(DATE(AnnéeCalendrier,7,19),1),"jjj")</f>
        <v>dim</v>
      </c>
      <c r="V5" s="15" t="str">
        <f>TEXT(WEEKDAY(DATE(AnnéeCalendrier,7,20),1),"jjj")</f>
        <v>lun</v>
      </c>
      <c r="W5" s="15" t="str">
        <f>TEXT(WEEKDAY(DATE(AnnéeCalendrier,7,21),1),"jjj")</f>
        <v>mar</v>
      </c>
      <c r="X5" s="15" t="str">
        <f>TEXT(WEEKDAY(DATE(AnnéeCalendrier,7,22),1),"jjj")</f>
        <v>mer</v>
      </c>
      <c r="Y5" s="15" t="str">
        <f>TEXT(WEEKDAY(DATE(AnnéeCalendrier,7,23),1),"jjj")</f>
        <v>jeu</v>
      </c>
      <c r="Z5" s="15" t="str">
        <f>TEXT(WEEKDAY(DATE(AnnéeCalendrier,7,24),1),"jjj")</f>
        <v>ven</v>
      </c>
      <c r="AA5" s="15" t="str">
        <f>TEXT(WEEKDAY(DATE(AnnéeCalendrier,7,25),1),"jjj")</f>
        <v>sam</v>
      </c>
      <c r="AB5" s="15" t="str">
        <f>TEXT(WEEKDAY(DATE(AnnéeCalendrier,7,26),1),"jjj")</f>
        <v>dim</v>
      </c>
      <c r="AC5" s="15" t="str">
        <f>TEXT(WEEKDAY(DATE(AnnéeCalendrier,7,27),1),"jjj")</f>
        <v>lun</v>
      </c>
      <c r="AD5" s="15" t="str">
        <f>TEXT(WEEKDAY(DATE(AnnéeCalendrier,7,28),1),"jjj")</f>
        <v>mar</v>
      </c>
      <c r="AE5" s="15" t="str">
        <f>TEXT(WEEKDAY(DATE(AnnéeCalendrier,7,29),1),"jjj")</f>
        <v>mer</v>
      </c>
      <c r="AF5" s="15" t="str">
        <f>TEXT(WEEKDAY(DATE(AnnéeCalendrier,7,30),1),"jjj")</f>
        <v>jeu</v>
      </c>
      <c r="AG5" s="15" t="str">
        <f>TEXT(WEEKDAY(DATE(AnnéeCalendrier,7,31),1),"jjj")</f>
        <v>ven</v>
      </c>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17" t="s">
        <v>34</v>
      </c>
      <c r="AH6" s="18" t="s">
        <v>36</v>
      </c>
    </row>
    <row r="7" spans="1:34" ht="30" customHeight="1" x14ac:dyDescent="0.25">
      <c r="B7" s="27" t="s">
        <v>58</v>
      </c>
      <c r="C7" s="17"/>
      <c r="D7" s="17"/>
      <c r="E7" s="20"/>
      <c r="F7" s="20"/>
      <c r="G7" s="17"/>
      <c r="H7" s="17"/>
      <c r="I7" s="17"/>
      <c r="J7" s="17"/>
      <c r="K7" s="17"/>
      <c r="L7" s="20"/>
      <c r="M7" s="20"/>
      <c r="N7" s="17"/>
      <c r="O7" s="17"/>
      <c r="P7" s="20"/>
      <c r="Q7" s="17"/>
      <c r="R7" s="17"/>
      <c r="S7" s="20"/>
      <c r="T7" s="20"/>
      <c r="U7" s="17"/>
      <c r="V7" s="17"/>
      <c r="W7" s="17"/>
      <c r="X7" s="17"/>
      <c r="Y7" s="17"/>
      <c r="Z7" s="20"/>
      <c r="AA7" s="20"/>
      <c r="AB7" s="17"/>
      <c r="AC7" s="17"/>
      <c r="AD7" s="17"/>
      <c r="AE7" s="17"/>
      <c r="AF7" s="17"/>
      <c r="AG7" s="20"/>
      <c r="AH7" s="21">
        <f>COUNTA(Juillet[[#This Row],[1]:[31]])</f>
        <v>0</v>
      </c>
    </row>
    <row r="8" spans="1:34" ht="30" customHeight="1" x14ac:dyDescent="0.25">
      <c r="B8" s="27" t="s">
        <v>59</v>
      </c>
      <c r="C8" s="17"/>
      <c r="D8" s="17"/>
      <c r="E8" s="20"/>
      <c r="F8" s="20"/>
      <c r="G8" s="17"/>
      <c r="H8" s="17"/>
      <c r="I8" s="17"/>
      <c r="J8" s="17"/>
      <c r="K8" s="17"/>
      <c r="L8" s="20"/>
      <c r="M8" s="20"/>
      <c r="N8" s="17"/>
      <c r="O8" s="17"/>
      <c r="P8" s="20"/>
      <c r="Q8" s="17"/>
      <c r="R8" s="17"/>
      <c r="S8" s="20"/>
      <c r="T8" s="20"/>
      <c r="U8" s="17"/>
      <c r="V8" s="17"/>
      <c r="W8" s="17"/>
      <c r="X8" s="17"/>
      <c r="Y8" s="17"/>
      <c r="Z8" s="20"/>
      <c r="AA8" s="20"/>
      <c r="AB8" s="17"/>
      <c r="AC8" s="17"/>
      <c r="AD8" s="17"/>
      <c r="AE8" s="17"/>
      <c r="AF8" s="17"/>
      <c r="AG8" s="20"/>
      <c r="AH8" s="21">
        <f>COUNTA(Juillet[[#This Row],[1]:[31]])</f>
        <v>0</v>
      </c>
    </row>
    <row r="9" spans="1:34" ht="30" customHeight="1" x14ac:dyDescent="0.25">
      <c r="B9" s="27" t="s">
        <v>60</v>
      </c>
      <c r="C9" s="17"/>
      <c r="D9" s="17"/>
      <c r="E9" s="20"/>
      <c r="F9" s="20"/>
      <c r="G9" s="17"/>
      <c r="H9" s="17"/>
      <c r="I9" s="17"/>
      <c r="J9" s="17"/>
      <c r="K9" s="17"/>
      <c r="L9" s="20"/>
      <c r="M9" s="20"/>
      <c r="N9" s="17"/>
      <c r="O9" s="17"/>
      <c r="P9" s="20"/>
      <c r="Q9" s="17"/>
      <c r="R9" s="17"/>
      <c r="S9" s="20"/>
      <c r="T9" s="20"/>
      <c r="U9" s="17"/>
      <c r="V9" s="17"/>
      <c r="W9" s="17"/>
      <c r="X9" s="17"/>
      <c r="Y9" s="17"/>
      <c r="Z9" s="20"/>
      <c r="AA9" s="20"/>
      <c r="AB9" s="17"/>
      <c r="AC9" s="17"/>
      <c r="AD9" s="17"/>
      <c r="AE9" s="17"/>
      <c r="AF9" s="17"/>
      <c r="AG9" s="20"/>
      <c r="AH9" s="21">
        <f>COUNTA(Juillet[[#This Row],[1]:[31]])</f>
        <v>0</v>
      </c>
    </row>
    <row r="10" spans="1:34" ht="30" customHeight="1" x14ac:dyDescent="0.25">
      <c r="B10" s="22" t="str">
        <f>NomMois&amp;" Total"</f>
        <v>Juillet Total</v>
      </c>
      <c r="C10" s="24">
        <f>SUBTOTAL(103,Juillet[1])</f>
        <v>0</v>
      </c>
      <c r="D10" s="24">
        <f>SUBTOTAL(103,Juillet[2])</f>
        <v>0</v>
      </c>
      <c r="E10" s="23">
        <f>SUBTOTAL(103,'2020-Janvier'!$D$7:$D$9)</f>
        <v>0</v>
      </c>
      <c r="F10" s="23">
        <f>SUBTOTAL(103,'2020-Janvier'!$E$7:$E$9)</f>
        <v>0</v>
      </c>
      <c r="G10" s="24">
        <f>SUBTOTAL(103,Juillet[5])</f>
        <v>0</v>
      </c>
      <c r="H10" s="24">
        <f>SUBTOTAL(103,Juillet[6])</f>
        <v>0</v>
      </c>
      <c r="I10" s="24">
        <f>SUBTOTAL(103,Juillet[7])</f>
        <v>0</v>
      </c>
      <c r="J10" s="24">
        <f>SUBTOTAL(103,Juillet[8])</f>
        <v>0</v>
      </c>
      <c r="K10" s="24">
        <f>SUBTOTAL(103,Juillet[9])</f>
        <v>0</v>
      </c>
      <c r="L10" s="23">
        <f>SUBTOTAL(103,'2020-Janvier'!$D$7:$D$9)</f>
        <v>0</v>
      </c>
      <c r="M10" s="23">
        <f>SUBTOTAL(103,'2020-Janvier'!$E$7:$E$9)</f>
        <v>0</v>
      </c>
      <c r="N10" s="24">
        <f>SUBTOTAL(103,Juillet[12])</f>
        <v>0</v>
      </c>
      <c r="O10" s="24">
        <f>SUBTOTAL(103,Juillet[13])</f>
        <v>0</v>
      </c>
      <c r="P10" s="23">
        <f>SUBTOTAL(103,'2020-Janvier'!$E$7:$E$9)</f>
        <v>0</v>
      </c>
      <c r="Q10" s="24">
        <f>SUBTOTAL(103,Juillet[15])</f>
        <v>0</v>
      </c>
      <c r="R10" s="24">
        <f>SUBTOTAL(103,Juillet[16])</f>
        <v>0</v>
      </c>
      <c r="S10" s="23">
        <f>SUBTOTAL(103,'2020-Janvier'!$D$7:$D$9)</f>
        <v>0</v>
      </c>
      <c r="T10" s="23">
        <f>SUBTOTAL(103,'2020-Janvier'!$E$7:$E$9)</f>
        <v>0</v>
      </c>
      <c r="U10" s="24">
        <f>SUBTOTAL(103,Juillet[19])</f>
        <v>0</v>
      </c>
      <c r="V10" s="24">
        <f>SUBTOTAL(103,Juillet[20])</f>
        <v>0</v>
      </c>
      <c r="W10" s="24">
        <f>SUBTOTAL(103,Juillet[21])</f>
        <v>0</v>
      </c>
      <c r="X10" s="24">
        <f>SUBTOTAL(103,Juillet[22])</f>
        <v>0</v>
      </c>
      <c r="Y10" s="24">
        <f>SUBTOTAL(103,Juillet[23])</f>
        <v>0</v>
      </c>
      <c r="Z10" s="23">
        <f>SUBTOTAL(103,'2020-Janvier'!$D$7:$D$9)</f>
        <v>0</v>
      </c>
      <c r="AA10" s="23">
        <f>SUBTOTAL(103,'2020-Janvier'!$E$7:$E$9)</f>
        <v>0</v>
      </c>
      <c r="AB10" s="24">
        <f>SUBTOTAL(103,Juillet[26])</f>
        <v>0</v>
      </c>
      <c r="AC10" s="24">
        <f>SUBTOTAL(103,Juillet[27])</f>
        <v>0</v>
      </c>
      <c r="AD10" s="24">
        <f>SUBTOTAL(103,Juillet[28])</f>
        <v>0</v>
      </c>
      <c r="AE10" s="24">
        <f>SUBTOTAL(103,Juillet[29])</f>
        <v>0</v>
      </c>
      <c r="AF10" s="24">
        <f>SUBTOTAL(103,Juillet[30])</f>
        <v>0</v>
      </c>
      <c r="AG10" s="23">
        <f>SUBTOTAL(103,'2020-Janvier'!$D$7:$D$9)</f>
        <v>0</v>
      </c>
      <c r="AH10" s="24">
        <f>SUBTOTAL(109,Juillet[Total des jours])</f>
        <v>0</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E2:G2"/>
    <mergeCell ref="I2:K2"/>
    <mergeCell ref="M2:O2"/>
    <mergeCell ref="AG12:AH12"/>
  </mergeCells>
  <conditionalFormatting sqref="AH7:AH9">
    <cfRule type="dataBar" priority="198">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conditionalFormatting sqref="C7:AG9">
    <cfRule type="expression" priority="1" stopIfTrue="1">
      <formula>C7=""</formula>
    </cfRule>
    <cfRule type="cellIs" dxfId="544" priority="2" stopIfTrue="1" operator="equal">
      <formula>"A"</formula>
    </cfRule>
    <cfRule type="cellIs" dxfId="543" priority="3" stopIfTrue="1" operator="equal">
      <formula>"M"</formula>
    </cfRule>
    <cfRule type="cellIs" dxfId="542" priority="4" stopIfTrue="1" operator="equal">
      <formula>"J"</formula>
    </cfRule>
  </conditionalFormatting>
  <dataValidations count="1">
    <dataValidation allowBlank="1" showErrorMessage="1" sqref="AH3 A1:B1 L2 H2 D2 B2" xr:uid="{BFF1A36B-FFE8-46C9-ADC0-941592EF30CD}"/>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employés'!$B$4:$B$6</xm:f>
          </x14:formula1>
          <xm:sqref>B7:B9</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2" tint="-0.749992370372631"/>
  </sheetPr>
  <dimension ref="A1:AH13"/>
  <sheetViews>
    <sheetView showGridLines="0" zoomScaleNormal="100" workbookViewId="0">
      <selection activeCell="W20" sqref="W20"/>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61</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45</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TEXT(WEEKDAY(DATE(AnnéeCalendrier,8,1),1),"jjj")</f>
        <v>sam</v>
      </c>
      <c r="D5" s="15" t="str">
        <f>TEXT(WEEKDAY(DATE(AnnéeCalendrier,8,2),1),"jjj")</f>
        <v>dim</v>
      </c>
      <c r="E5" s="15" t="str">
        <f>TEXT(WEEKDAY(DATE(AnnéeCalendrier,8,3),1),"jjj")</f>
        <v>lun</v>
      </c>
      <c r="F5" s="15" t="str">
        <f>TEXT(WEEKDAY(DATE(AnnéeCalendrier,8,4),1),"jjj")</f>
        <v>mar</v>
      </c>
      <c r="G5" s="15" t="str">
        <f>TEXT(WEEKDAY(DATE(AnnéeCalendrier,8,5),1),"jjj")</f>
        <v>mer</v>
      </c>
      <c r="H5" s="15" t="str">
        <f>TEXT(WEEKDAY(DATE(AnnéeCalendrier,8,6),1),"jjj")</f>
        <v>jeu</v>
      </c>
      <c r="I5" s="15" t="str">
        <f>TEXT(WEEKDAY(DATE(AnnéeCalendrier,8,7),1),"jjj")</f>
        <v>ven</v>
      </c>
      <c r="J5" s="15" t="str">
        <f>TEXT(WEEKDAY(DATE(AnnéeCalendrier,8,8),1),"jjj")</f>
        <v>sam</v>
      </c>
      <c r="K5" s="15" t="str">
        <f>TEXT(WEEKDAY(DATE(AnnéeCalendrier,8,9),1),"jjj")</f>
        <v>dim</v>
      </c>
      <c r="L5" s="15" t="str">
        <f>TEXT(WEEKDAY(DATE(AnnéeCalendrier,8,10),1),"jjj")</f>
        <v>lun</v>
      </c>
      <c r="M5" s="15" t="str">
        <f>TEXT(WEEKDAY(DATE(AnnéeCalendrier,8,11),1),"jjj")</f>
        <v>mar</v>
      </c>
      <c r="N5" s="15" t="str">
        <f>TEXT(WEEKDAY(DATE(AnnéeCalendrier,8,12),1),"jjj")</f>
        <v>mer</v>
      </c>
      <c r="O5" s="15" t="str">
        <f>TEXT(WEEKDAY(DATE(AnnéeCalendrier,8,13),1),"jjj")</f>
        <v>jeu</v>
      </c>
      <c r="P5" s="15" t="str">
        <f>TEXT(WEEKDAY(DATE(AnnéeCalendrier,8,14),1),"jjj")</f>
        <v>ven</v>
      </c>
      <c r="Q5" s="15" t="str">
        <f>TEXT(WEEKDAY(DATE(AnnéeCalendrier,8,15),1),"jjj")</f>
        <v>sam</v>
      </c>
      <c r="R5" s="15" t="str">
        <f>TEXT(WEEKDAY(DATE(AnnéeCalendrier,8,16),1),"jjj")</f>
        <v>dim</v>
      </c>
      <c r="S5" s="15" t="str">
        <f>TEXT(WEEKDAY(DATE(AnnéeCalendrier,8,17),1),"jjj")</f>
        <v>lun</v>
      </c>
      <c r="T5" s="15" t="str">
        <f>TEXT(WEEKDAY(DATE(AnnéeCalendrier,8,18),1),"jjj")</f>
        <v>mar</v>
      </c>
      <c r="U5" s="15" t="str">
        <f>TEXT(WEEKDAY(DATE(AnnéeCalendrier,8,19),1),"jjj")</f>
        <v>mer</v>
      </c>
      <c r="V5" s="15" t="str">
        <f>TEXT(WEEKDAY(DATE(AnnéeCalendrier,8,20),1),"jjj")</f>
        <v>jeu</v>
      </c>
      <c r="W5" s="15" t="str">
        <f>TEXT(WEEKDAY(DATE(AnnéeCalendrier,8,21),1),"jjj")</f>
        <v>ven</v>
      </c>
      <c r="X5" s="15" t="str">
        <f>TEXT(WEEKDAY(DATE(AnnéeCalendrier,8,22),1),"jjj")</f>
        <v>sam</v>
      </c>
      <c r="Y5" s="15" t="str">
        <f>TEXT(WEEKDAY(DATE(AnnéeCalendrier,8,23),1),"jjj")</f>
        <v>dim</v>
      </c>
      <c r="Z5" s="15" t="str">
        <f>TEXT(WEEKDAY(DATE(AnnéeCalendrier,8,24),1),"jjj")</f>
        <v>lun</v>
      </c>
      <c r="AA5" s="15" t="str">
        <f>TEXT(WEEKDAY(DATE(AnnéeCalendrier,8,25),1),"jjj")</f>
        <v>mar</v>
      </c>
      <c r="AB5" s="15" t="str">
        <f>TEXT(WEEKDAY(DATE(AnnéeCalendrier,8,26),1),"jjj")</f>
        <v>mer</v>
      </c>
      <c r="AC5" s="15" t="str">
        <f>TEXT(WEEKDAY(DATE(AnnéeCalendrier,8,27),1),"jjj")</f>
        <v>jeu</v>
      </c>
      <c r="AD5" s="15" t="str">
        <f>TEXT(WEEKDAY(DATE(AnnéeCalendrier,8,28),1),"jjj")</f>
        <v>ven</v>
      </c>
      <c r="AE5" s="15" t="str">
        <f>TEXT(WEEKDAY(DATE(AnnéeCalendrier,8,29),1),"jjj")</f>
        <v>sam</v>
      </c>
      <c r="AF5" s="15" t="str">
        <f>TEXT(WEEKDAY(DATE(AnnéeCalendrier,8,30),1),"jjj")</f>
        <v>dim</v>
      </c>
      <c r="AG5" s="15" t="str">
        <f>TEXT(WEEKDAY(DATE(AnnéeCalendrier,8,31),1),"jjj")</f>
        <v>lun</v>
      </c>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17" t="s">
        <v>34</v>
      </c>
      <c r="AH6" s="18" t="s">
        <v>36</v>
      </c>
    </row>
    <row r="7" spans="1:34" ht="30" customHeight="1" x14ac:dyDescent="0.25">
      <c r="B7" s="27" t="s">
        <v>58</v>
      </c>
      <c r="C7" s="20"/>
      <c r="D7" s="17"/>
      <c r="E7" s="17"/>
      <c r="F7" s="17"/>
      <c r="G7" s="17"/>
      <c r="H7" s="17"/>
      <c r="I7" s="20"/>
      <c r="J7" s="20"/>
      <c r="K7" s="17"/>
      <c r="L7" s="17"/>
      <c r="M7" s="17"/>
      <c r="N7" s="17"/>
      <c r="O7" s="17"/>
      <c r="P7" s="20"/>
      <c r="Q7" s="20"/>
      <c r="R7" s="17"/>
      <c r="S7" s="17"/>
      <c r="T7" s="17"/>
      <c r="U7" s="17"/>
      <c r="V7" s="17"/>
      <c r="W7" s="20"/>
      <c r="X7" s="20"/>
      <c r="Y7" s="17"/>
      <c r="Z7" s="17"/>
      <c r="AA7" s="17"/>
      <c r="AB7" s="17"/>
      <c r="AC7" s="17"/>
      <c r="AD7" s="20"/>
      <c r="AE7" s="20"/>
      <c r="AF7" s="17"/>
      <c r="AG7" s="17"/>
      <c r="AH7" s="21">
        <f>COUNTA(Août[[#This Row],[1]:[31]])</f>
        <v>0</v>
      </c>
    </row>
    <row r="8" spans="1:34" ht="30" customHeight="1" x14ac:dyDescent="0.25">
      <c r="B8" s="27" t="s">
        <v>59</v>
      </c>
      <c r="C8" s="20"/>
      <c r="D8" s="17"/>
      <c r="E8" s="17"/>
      <c r="F8" s="17"/>
      <c r="G8" s="17"/>
      <c r="H8" s="17"/>
      <c r="I8" s="20"/>
      <c r="J8" s="20"/>
      <c r="K8" s="17"/>
      <c r="L8" s="17"/>
      <c r="M8" s="17"/>
      <c r="N8" s="17"/>
      <c r="O8" s="17"/>
      <c r="P8" s="20"/>
      <c r="Q8" s="20"/>
      <c r="R8" s="17"/>
      <c r="S8" s="17"/>
      <c r="T8" s="17"/>
      <c r="U8" s="17"/>
      <c r="V8" s="17"/>
      <c r="W8" s="20"/>
      <c r="X8" s="20"/>
      <c r="Y8" s="17"/>
      <c r="Z8" s="17"/>
      <c r="AA8" s="17"/>
      <c r="AB8" s="17"/>
      <c r="AC8" s="17"/>
      <c r="AD8" s="20"/>
      <c r="AE8" s="20"/>
      <c r="AF8" s="17"/>
      <c r="AG8" s="17"/>
      <c r="AH8" s="21">
        <f>COUNTA(Août[[#This Row],[1]:[31]])</f>
        <v>0</v>
      </c>
    </row>
    <row r="9" spans="1:34" ht="30" customHeight="1" x14ac:dyDescent="0.25">
      <c r="B9" s="27" t="s">
        <v>60</v>
      </c>
      <c r="C9" s="20"/>
      <c r="D9" s="17"/>
      <c r="E9" s="17"/>
      <c r="F9" s="17"/>
      <c r="G9" s="17"/>
      <c r="H9" s="17"/>
      <c r="I9" s="20"/>
      <c r="J9" s="20"/>
      <c r="K9" s="17"/>
      <c r="L9" s="17"/>
      <c r="M9" s="17"/>
      <c r="N9" s="17"/>
      <c r="O9" s="17"/>
      <c r="P9" s="20"/>
      <c r="Q9" s="20"/>
      <c r="R9" s="17"/>
      <c r="S9" s="17"/>
      <c r="T9" s="17"/>
      <c r="U9" s="17"/>
      <c r="V9" s="17"/>
      <c r="W9" s="20"/>
      <c r="X9" s="20"/>
      <c r="Y9" s="17"/>
      <c r="Z9" s="17"/>
      <c r="AA9" s="17"/>
      <c r="AB9" s="17"/>
      <c r="AC9" s="17"/>
      <c r="AD9" s="20"/>
      <c r="AE9" s="20"/>
      <c r="AF9" s="17"/>
      <c r="AG9" s="17"/>
      <c r="AH9" s="21">
        <f>COUNTA(Août[[#This Row],[1]:[31]])</f>
        <v>0</v>
      </c>
    </row>
    <row r="10" spans="1:34" ht="30" customHeight="1" x14ac:dyDescent="0.25">
      <c r="B10" s="22" t="str">
        <f>NomMois&amp;" Total"</f>
        <v>Août Total</v>
      </c>
      <c r="C10" s="23">
        <f>SUBTOTAL(103,'2020-Janvier'!$D$7:$D$9)</f>
        <v>0</v>
      </c>
      <c r="D10" s="24">
        <f>SUBTOTAL(103,Août[2])</f>
        <v>0</v>
      </c>
      <c r="E10" s="24">
        <f>SUBTOTAL(103,Août[3])</f>
        <v>0</v>
      </c>
      <c r="F10" s="24">
        <f>SUBTOTAL(103,Août[4])</f>
        <v>0</v>
      </c>
      <c r="G10" s="24">
        <f>SUBTOTAL(103,Août[5])</f>
        <v>0</v>
      </c>
      <c r="H10" s="24">
        <f>SUBTOTAL(103,Août[6])</f>
        <v>0</v>
      </c>
      <c r="I10" s="23">
        <f>SUBTOTAL(103,'2020-Janvier'!$D$7:$D$9)</f>
        <v>0</v>
      </c>
      <c r="J10" s="23">
        <f>SUBTOTAL(103,'2020-Janvier'!$E$7:$E$9)</f>
        <v>0</v>
      </c>
      <c r="K10" s="24">
        <f>SUBTOTAL(103,Août[9])</f>
        <v>0</v>
      </c>
      <c r="L10" s="24">
        <f>SUBTOTAL(103,Août[10])</f>
        <v>0</v>
      </c>
      <c r="M10" s="24">
        <f>SUBTOTAL(103,Août[11])</f>
        <v>0</v>
      </c>
      <c r="N10" s="24">
        <f>SUBTOTAL(103,Août[12])</f>
        <v>0</v>
      </c>
      <c r="O10" s="24">
        <f>SUBTOTAL(103,Août[13])</f>
        <v>0</v>
      </c>
      <c r="P10" s="23">
        <f>SUBTOTAL(103,'2020-Janvier'!$D$7:$D$9)</f>
        <v>0</v>
      </c>
      <c r="Q10" s="23">
        <f>SUBTOTAL(103,'2020-Janvier'!$E$7:$E$9)</f>
        <v>0</v>
      </c>
      <c r="R10" s="24">
        <f>SUBTOTAL(103,Août[16])</f>
        <v>0</v>
      </c>
      <c r="S10" s="24">
        <f>SUBTOTAL(103,Août[17])</f>
        <v>0</v>
      </c>
      <c r="T10" s="24">
        <f>SUBTOTAL(103,Août[18])</f>
        <v>0</v>
      </c>
      <c r="U10" s="24">
        <f>SUBTOTAL(103,Août[19])</f>
        <v>0</v>
      </c>
      <c r="V10" s="24">
        <f>SUBTOTAL(103,Août[20])</f>
        <v>0</v>
      </c>
      <c r="W10" s="23">
        <f>SUBTOTAL(103,'2020-Janvier'!$D$7:$D$9)</f>
        <v>0</v>
      </c>
      <c r="X10" s="23">
        <f>SUBTOTAL(103,'2020-Janvier'!$E$7:$E$9)</f>
        <v>0</v>
      </c>
      <c r="Y10" s="24">
        <f>SUBTOTAL(103,Août[23])</f>
        <v>0</v>
      </c>
      <c r="Z10" s="24">
        <f>SUBTOTAL(103,Août[24])</f>
        <v>0</v>
      </c>
      <c r="AA10" s="24">
        <f>SUBTOTAL(103,Août[25])</f>
        <v>0</v>
      </c>
      <c r="AB10" s="24">
        <f>SUBTOTAL(103,Août[26])</f>
        <v>0</v>
      </c>
      <c r="AC10" s="24">
        <f>SUBTOTAL(103,Août[27])</f>
        <v>0</v>
      </c>
      <c r="AD10" s="23">
        <f>SUBTOTAL(103,'2020-Janvier'!$D$7:$D$9)</f>
        <v>0</v>
      </c>
      <c r="AE10" s="23">
        <f>SUBTOTAL(103,'2020-Janvier'!$E$7:$E$9)</f>
        <v>0</v>
      </c>
      <c r="AF10" s="24">
        <f>SUBTOTAL(103,Août[30])</f>
        <v>0</v>
      </c>
      <c r="AG10" s="24">
        <f>SUBTOTAL(103,Août[31])</f>
        <v>0</v>
      </c>
      <c r="AH10" s="24">
        <f>SUBTOTAL(109,Août[Total des jours])</f>
        <v>0</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E2:G2"/>
    <mergeCell ref="I2:K2"/>
    <mergeCell ref="M2:O2"/>
    <mergeCell ref="AG12:AH12"/>
  </mergeCells>
  <conditionalFormatting sqref="AH7:AH9">
    <cfRule type="dataBar" priority="196">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conditionalFormatting sqref="C7:AG9">
    <cfRule type="expression" priority="1" stopIfTrue="1">
      <formula>C7=""</formula>
    </cfRule>
    <cfRule type="cellIs" dxfId="472" priority="2" stopIfTrue="1" operator="equal">
      <formula>"A"</formula>
    </cfRule>
    <cfRule type="cellIs" dxfId="471" priority="3" stopIfTrue="1" operator="equal">
      <formula>"M"</formula>
    </cfRule>
    <cfRule type="cellIs" dxfId="470" priority="4" stopIfTrue="1" operator="equal">
      <formula>"J"</formula>
    </cfRule>
  </conditionalFormatting>
  <dataValidations count="1">
    <dataValidation allowBlank="1" showErrorMessage="1" sqref="AH3 A1:B1 L2 H2 D2 B2" xr:uid="{8E941558-C37B-49BF-A7BE-A7E1F0B4610A}"/>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employés'!$B$4:$B$6</xm:f>
          </x14:formula1>
          <xm:sqref>B7:B9</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theme="2" tint="-0.499984740745262"/>
  </sheetPr>
  <dimension ref="A1:AH13"/>
  <sheetViews>
    <sheetView showGridLines="0" zoomScaleNormal="100" workbookViewId="0">
      <selection activeCell="W20" sqref="W20"/>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61</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46</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TEXT(WEEKDAY(DATE(AnnéeCalendrier,9,1),1),"jjj")</f>
        <v>mar</v>
      </c>
      <c r="D5" s="15" t="str">
        <f>TEXT(WEEKDAY(DATE(AnnéeCalendrier,9,2),1),"jjj")</f>
        <v>mer</v>
      </c>
      <c r="E5" s="15" t="str">
        <f>TEXT(WEEKDAY(DATE(AnnéeCalendrier,9,3),1),"jjj")</f>
        <v>jeu</v>
      </c>
      <c r="F5" s="15" t="str">
        <f>TEXT(WEEKDAY(DATE(AnnéeCalendrier,9,4),1),"jjj")</f>
        <v>ven</v>
      </c>
      <c r="G5" s="15" t="str">
        <f>TEXT(WEEKDAY(DATE(AnnéeCalendrier,9,5),1),"jjj")</f>
        <v>sam</v>
      </c>
      <c r="H5" s="15" t="str">
        <f>TEXT(WEEKDAY(DATE(AnnéeCalendrier,9,6),1),"jjj")</f>
        <v>dim</v>
      </c>
      <c r="I5" s="15" t="str">
        <f>TEXT(WEEKDAY(DATE(AnnéeCalendrier,9,7),1),"jjj")</f>
        <v>lun</v>
      </c>
      <c r="J5" s="15" t="str">
        <f>TEXT(WEEKDAY(DATE(AnnéeCalendrier,9,8),1),"jjj")</f>
        <v>mar</v>
      </c>
      <c r="K5" s="15" t="str">
        <f>TEXT(WEEKDAY(DATE(AnnéeCalendrier,9,9),1),"jjj")</f>
        <v>mer</v>
      </c>
      <c r="L5" s="15" t="str">
        <f>TEXT(WEEKDAY(DATE(AnnéeCalendrier,9,10),1),"jjj")</f>
        <v>jeu</v>
      </c>
      <c r="M5" s="15" t="str">
        <f>TEXT(WEEKDAY(DATE(AnnéeCalendrier,9,11),1),"jjj")</f>
        <v>ven</v>
      </c>
      <c r="N5" s="15" t="str">
        <f>TEXT(WEEKDAY(DATE(AnnéeCalendrier,9,12),1),"jjj")</f>
        <v>sam</v>
      </c>
      <c r="O5" s="15" t="str">
        <f>TEXT(WEEKDAY(DATE(AnnéeCalendrier,9,13),1),"jjj")</f>
        <v>dim</v>
      </c>
      <c r="P5" s="15" t="str">
        <f>TEXT(WEEKDAY(DATE(AnnéeCalendrier,9,14),1),"jjj")</f>
        <v>lun</v>
      </c>
      <c r="Q5" s="15" t="str">
        <f>TEXT(WEEKDAY(DATE(AnnéeCalendrier,9,15),1),"jjj")</f>
        <v>mar</v>
      </c>
      <c r="R5" s="15" t="str">
        <f>TEXT(WEEKDAY(DATE(AnnéeCalendrier,9,16),1),"jjj")</f>
        <v>mer</v>
      </c>
      <c r="S5" s="15" t="str">
        <f>TEXT(WEEKDAY(DATE(AnnéeCalendrier,9,17),1),"jjj")</f>
        <v>jeu</v>
      </c>
      <c r="T5" s="15" t="str">
        <f>TEXT(WEEKDAY(DATE(AnnéeCalendrier,9,18),1),"jjj")</f>
        <v>ven</v>
      </c>
      <c r="U5" s="15" t="str">
        <f>TEXT(WEEKDAY(DATE(AnnéeCalendrier,9,19),1),"jjj")</f>
        <v>sam</v>
      </c>
      <c r="V5" s="15" t="str">
        <f>TEXT(WEEKDAY(DATE(AnnéeCalendrier,9,20),1),"jjj")</f>
        <v>dim</v>
      </c>
      <c r="W5" s="15" t="str">
        <f>TEXT(WEEKDAY(DATE(AnnéeCalendrier,9,21),1),"jjj")</f>
        <v>lun</v>
      </c>
      <c r="X5" s="15" t="str">
        <f>TEXT(WEEKDAY(DATE(AnnéeCalendrier,9,22),1),"jjj")</f>
        <v>mar</v>
      </c>
      <c r="Y5" s="15" t="str">
        <f>TEXT(WEEKDAY(DATE(AnnéeCalendrier,9,23),1),"jjj")</f>
        <v>mer</v>
      </c>
      <c r="Z5" s="15" t="str">
        <f>TEXT(WEEKDAY(DATE(AnnéeCalendrier,9,24),1),"jjj")</f>
        <v>jeu</v>
      </c>
      <c r="AA5" s="15" t="str">
        <f>TEXT(WEEKDAY(DATE(AnnéeCalendrier,9,25),1),"jjj")</f>
        <v>ven</v>
      </c>
      <c r="AB5" s="15" t="str">
        <f>TEXT(WEEKDAY(DATE(AnnéeCalendrier,9,26),1),"jjj")</f>
        <v>sam</v>
      </c>
      <c r="AC5" s="15" t="str">
        <f>TEXT(WEEKDAY(DATE(AnnéeCalendrier,9,27),1),"jjj")</f>
        <v>dim</v>
      </c>
      <c r="AD5" s="15" t="str">
        <f>TEXT(WEEKDAY(DATE(AnnéeCalendrier,9,28),1),"jjj")</f>
        <v>lun</v>
      </c>
      <c r="AE5" s="15" t="str">
        <f>TEXT(WEEKDAY(DATE(AnnéeCalendrier,9,29),1),"jjj")</f>
        <v>mar</v>
      </c>
      <c r="AF5" s="15" t="str">
        <f>TEXT(WEEKDAY(DATE(AnnéeCalendrier,9,30),1),"jjj")</f>
        <v>mer</v>
      </c>
      <c r="AG5" s="15"/>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17" t="s">
        <v>38</v>
      </c>
      <c r="AH6" s="18" t="s">
        <v>36</v>
      </c>
    </row>
    <row r="7" spans="1:34" ht="30" customHeight="1" x14ac:dyDescent="0.25">
      <c r="B7" s="27" t="s">
        <v>58</v>
      </c>
      <c r="C7" s="17"/>
      <c r="D7" s="17"/>
      <c r="E7" s="17"/>
      <c r="F7" s="20"/>
      <c r="G7" s="20"/>
      <c r="H7" s="17"/>
      <c r="I7" s="17"/>
      <c r="J7" s="17"/>
      <c r="K7" s="17"/>
      <c r="L7" s="17"/>
      <c r="M7" s="20"/>
      <c r="N7" s="20"/>
      <c r="O7" s="17"/>
      <c r="P7" s="17"/>
      <c r="Q7" s="17"/>
      <c r="R7" s="17"/>
      <c r="S7" s="17"/>
      <c r="T7" s="20"/>
      <c r="U7" s="20"/>
      <c r="V7" s="17"/>
      <c r="W7" s="17"/>
      <c r="X7" s="17"/>
      <c r="Y7" s="17"/>
      <c r="Z7" s="17"/>
      <c r="AA7" s="20"/>
      <c r="AB7" s="20"/>
      <c r="AC7" s="17"/>
      <c r="AD7" s="17"/>
      <c r="AE7" s="17"/>
      <c r="AF7" s="17"/>
      <c r="AG7" s="17"/>
      <c r="AH7" s="21">
        <f>COUNTA(Septembre[[#This Row],[1]:[30]])</f>
        <v>0</v>
      </c>
    </row>
    <row r="8" spans="1:34" ht="30" customHeight="1" x14ac:dyDescent="0.25">
      <c r="B8" s="27" t="s">
        <v>59</v>
      </c>
      <c r="C8" s="17"/>
      <c r="D8" s="17"/>
      <c r="E8" s="17"/>
      <c r="F8" s="20"/>
      <c r="G8" s="20"/>
      <c r="H8" s="17"/>
      <c r="I8" s="17"/>
      <c r="J8" s="17"/>
      <c r="K8" s="17"/>
      <c r="L8" s="17"/>
      <c r="M8" s="20"/>
      <c r="N8" s="20"/>
      <c r="O8" s="17"/>
      <c r="P8" s="17"/>
      <c r="Q8" s="17"/>
      <c r="R8" s="17"/>
      <c r="S8" s="17"/>
      <c r="T8" s="20"/>
      <c r="U8" s="20"/>
      <c r="V8" s="17"/>
      <c r="W8" s="17"/>
      <c r="X8" s="17"/>
      <c r="Y8" s="17"/>
      <c r="Z8" s="17"/>
      <c r="AA8" s="20"/>
      <c r="AB8" s="20"/>
      <c r="AC8" s="17"/>
      <c r="AD8" s="17"/>
      <c r="AE8" s="17"/>
      <c r="AF8" s="17"/>
      <c r="AG8" s="17"/>
      <c r="AH8" s="21">
        <f>COUNTA(Septembre[[#This Row],[1]:[30]])</f>
        <v>0</v>
      </c>
    </row>
    <row r="9" spans="1:34" ht="30" customHeight="1" x14ac:dyDescent="0.25">
      <c r="B9" s="27" t="s">
        <v>60</v>
      </c>
      <c r="C9" s="17"/>
      <c r="D9" s="17"/>
      <c r="E9" s="17"/>
      <c r="F9" s="20"/>
      <c r="G9" s="20"/>
      <c r="H9" s="17"/>
      <c r="I9" s="17"/>
      <c r="J9" s="17"/>
      <c r="K9" s="17"/>
      <c r="L9" s="17"/>
      <c r="M9" s="20"/>
      <c r="N9" s="20"/>
      <c r="O9" s="17"/>
      <c r="P9" s="17"/>
      <c r="Q9" s="17"/>
      <c r="R9" s="17"/>
      <c r="S9" s="17"/>
      <c r="T9" s="20"/>
      <c r="U9" s="20"/>
      <c r="V9" s="17"/>
      <c r="W9" s="17"/>
      <c r="X9" s="17"/>
      <c r="Y9" s="17"/>
      <c r="Z9" s="17"/>
      <c r="AA9" s="20"/>
      <c r="AB9" s="20"/>
      <c r="AC9" s="17"/>
      <c r="AD9" s="17"/>
      <c r="AE9" s="17"/>
      <c r="AF9" s="17"/>
      <c r="AG9" s="17"/>
      <c r="AH9" s="21">
        <f>COUNTA(Septembre[[#This Row],[1]:[30]])</f>
        <v>0</v>
      </c>
    </row>
    <row r="10" spans="1:34" ht="30" customHeight="1" x14ac:dyDescent="0.25">
      <c r="B10" s="22" t="str">
        <f>NomMois&amp;" Total"</f>
        <v>Septembre Total</v>
      </c>
      <c r="C10" s="24">
        <f>SUBTOTAL(103,Septembre[1])</f>
        <v>0</v>
      </c>
      <c r="D10" s="24">
        <f>SUBTOTAL(103,Septembre[2])</f>
        <v>0</v>
      </c>
      <c r="E10" s="24">
        <f>SUBTOTAL(103,Septembre[3])</f>
        <v>0</v>
      </c>
      <c r="F10" s="23">
        <f>SUBTOTAL(103,'2020-Janvier'!$D$7:$D$9)</f>
        <v>0</v>
      </c>
      <c r="G10" s="23">
        <f>SUBTOTAL(103,'2020-Janvier'!$E$7:$E$9)</f>
        <v>0</v>
      </c>
      <c r="H10" s="24">
        <f>SUBTOTAL(103,Septembre[6])</f>
        <v>0</v>
      </c>
      <c r="I10" s="24">
        <f>SUBTOTAL(103,Septembre[7])</f>
        <v>0</v>
      </c>
      <c r="J10" s="24">
        <f>SUBTOTAL(103,Septembre[8])</f>
        <v>0</v>
      </c>
      <c r="K10" s="24">
        <f>SUBTOTAL(103,Septembre[9])</f>
        <v>0</v>
      </c>
      <c r="L10" s="24">
        <f>SUBTOTAL(103,Septembre[10])</f>
        <v>0</v>
      </c>
      <c r="M10" s="23">
        <f>SUBTOTAL(103,'2020-Janvier'!$D$7:$D$9)</f>
        <v>0</v>
      </c>
      <c r="N10" s="23">
        <f>SUBTOTAL(103,'2020-Janvier'!$E$7:$E$9)</f>
        <v>0</v>
      </c>
      <c r="O10" s="24">
        <f>SUBTOTAL(103,Septembre[13])</f>
        <v>0</v>
      </c>
      <c r="P10" s="24">
        <f>SUBTOTAL(103,Septembre[14])</f>
        <v>0</v>
      </c>
      <c r="Q10" s="24">
        <f>SUBTOTAL(103,Septembre[15])</f>
        <v>0</v>
      </c>
      <c r="R10" s="24">
        <f>SUBTOTAL(103,Septembre[16])</f>
        <v>0</v>
      </c>
      <c r="S10" s="24">
        <f>SUBTOTAL(103,Septembre[17])</f>
        <v>0</v>
      </c>
      <c r="T10" s="23">
        <f>SUBTOTAL(103,'2020-Janvier'!$D$7:$D$9)</f>
        <v>0</v>
      </c>
      <c r="U10" s="23">
        <f>SUBTOTAL(103,'2020-Janvier'!$E$7:$E$9)</f>
        <v>0</v>
      </c>
      <c r="V10" s="24">
        <f>SUBTOTAL(103,Septembre[20])</f>
        <v>0</v>
      </c>
      <c r="W10" s="24">
        <f>SUBTOTAL(103,Septembre[21])</f>
        <v>0</v>
      </c>
      <c r="X10" s="24">
        <f>SUBTOTAL(103,Septembre[22])</f>
        <v>0</v>
      </c>
      <c r="Y10" s="24">
        <f>SUBTOTAL(103,Septembre[23])</f>
        <v>0</v>
      </c>
      <c r="Z10" s="24">
        <f>SUBTOTAL(103,Septembre[24])</f>
        <v>0</v>
      </c>
      <c r="AA10" s="23">
        <f>SUBTOTAL(103,'2020-Janvier'!$D$7:$D$9)</f>
        <v>0</v>
      </c>
      <c r="AB10" s="23">
        <f>SUBTOTAL(103,'2020-Janvier'!$E$7:$E$9)</f>
        <v>0</v>
      </c>
      <c r="AC10" s="24">
        <f>SUBTOTAL(103,Septembre[27])</f>
        <v>0</v>
      </c>
      <c r="AD10" s="24">
        <f>SUBTOTAL(103,Septembre[28])</f>
        <v>0</v>
      </c>
      <c r="AE10" s="24">
        <f>SUBTOTAL(103,Septembre[29])</f>
        <v>0</v>
      </c>
      <c r="AF10" s="24">
        <f>SUBTOTAL(103,Septembre[30])</f>
        <v>0</v>
      </c>
      <c r="AG10" s="24">
        <f>SUBTOTAL(103,Septembre[[ ]])</f>
        <v>0</v>
      </c>
      <c r="AH10" s="24">
        <f>SUBTOTAL(109,Septembre[Total des jours])</f>
        <v>0</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E2:G2"/>
    <mergeCell ref="I2:K2"/>
    <mergeCell ref="M2:O2"/>
    <mergeCell ref="AG12:AH12"/>
  </mergeCells>
  <conditionalFormatting sqref="AH7:AH9">
    <cfRule type="dataBar" priority="191">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conditionalFormatting sqref="C7:AG9">
    <cfRule type="expression" priority="1" stopIfTrue="1">
      <formula>C7=""</formula>
    </cfRule>
    <cfRule type="cellIs" dxfId="400" priority="2" stopIfTrue="1" operator="equal">
      <formula>"A"</formula>
    </cfRule>
    <cfRule type="cellIs" dxfId="399" priority="3" stopIfTrue="1" operator="equal">
      <formula>"M"</formula>
    </cfRule>
    <cfRule type="cellIs" dxfId="398" priority="4" stopIfTrue="1" operator="equal">
      <formula>"J"</formula>
    </cfRule>
  </conditionalFormatting>
  <dataValidations count="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 allowBlank="1" showErrorMessage="1" sqref="AH3 A1:B1 L2 H2 D2 B2" xr:uid="{943655BC-08DC-4BCC-BD36-9A3327F9B65C}"/>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employés'!$B$4:$B$6</xm:f>
          </x14:formula1>
          <xm:sqref>B7:B9</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2" tint="-0.249977111117893"/>
  </sheetPr>
  <dimension ref="A1:AH13"/>
  <sheetViews>
    <sheetView showGridLines="0" tabSelected="1" zoomScaleNormal="100" workbookViewId="0">
      <selection activeCell="W17" sqref="W17"/>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67</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47</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TEXT(WEEKDAY(DATE(AnnéeCalendrier,10,1),1),"jjj")</f>
        <v>jeu</v>
      </c>
      <c r="D5" s="15" t="str">
        <f>TEXT(WEEKDAY(DATE(AnnéeCalendrier,10,2),1),"jjj")</f>
        <v>ven</v>
      </c>
      <c r="E5" s="15" t="str">
        <f>TEXT(WEEKDAY(DATE(AnnéeCalendrier,10,3),1),"jjj")</f>
        <v>sam</v>
      </c>
      <c r="F5" s="15" t="str">
        <f>TEXT(WEEKDAY(DATE(AnnéeCalendrier,10,4),1),"jjj")</f>
        <v>dim</v>
      </c>
      <c r="G5" s="15" t="str">
        <f>TEXT(WEEKDAY(DATE(AnnéeCalendrier,10,5),1),"jjj")</f>
        <v>lun</v>
      </c>
      <c r="H5" s="15" t="str">
        <f>TEXT(WEEKDAY(DATE(AnnéeCalendrier,10,6),1),"jjj")</f>
        <v>mar</v>
      </c>
      <c r="I5" s="15" t="str">
        <f>TEXT(WEEKDAY(DATE(AnnéeCalendrier,10,7),1),"jjj")</f>
        <v>mer</v>
      </c>
      <c r="J5" s="15" t="str">
        <f>TEXT(WEEKDAY(DATE(AnnéeCalendrier,10,8),1),"jjj")</f>
        <v>jeu</v>
      </c>
      <c r="K5" s="15" t="str">
        <f>TEXT(WEEKDAY(DATE(AnnéeCalendrier,10,9),1),"jjj")</f>
        <v>ven</v>
      </c>
      <c r="L5" s="15" t="str">
        <f>TEXT(WEEKDAY(DATE(AnnéeCalendrier,10,10),1),"jjj")</f>
        <v>sam</v>
      </c>
      <c r="M5" s="15" t="str">
        <f>TEXT(WEEKDAY(DATE(AnnéeCalendrier,10,11),1),"jjj")</f>
        <v>dim</v>
      </c>
      <c r="N5" s="15" t="str">
        <f>TEXT(WEEKDAY(DATE(AnnéeCalendrier,10,12),1),"jjj")</f>
        <v>lun</v>
      </c>
      <c r="O5" s="15" t="str">
        <f>TEXT(WEEKDAY(DATE(AnnéeCalendrier,10,13),1),"jjj")</f>
        <v>mar</v>
      </c>
      <c r="P5" s="15" t="str">
        <f>TEXT(WEEKDAY(DATE(AnnéeCalendrier,10,14),1),"jjj")</f>
        <v>mer</v>
      </c>
      <c r="Q5" s="15" t="str">
        <f>TEXT(WEEKDAY(DATE(AnnéeCalendrier,10,15),1),"jjj")</f>
        <v>jeu</v>
      </c>
      <c r="R5" s="15" t="str">
        <f>TEXT(WEEKDAY(DATE(AnnéeCalendrier,10,16),1),"jjj")</f>
        <v>ven</v>
      </c>
      <c r="S5" s="15" t="str">
        <f>TEXT(WEEKDAY(DATE(AnnéeCalendrier,10,17),1),"jjj")</f>
        <v>sam</v>
      </c>
      <c r="T5" s="15" t="str">
        <f>TEXT(WEEKDAY(DATE(AnnéeCalendrier,10,18),1),"jjj")</f>
        <v>dim</v>
      </c>
      <c r="U5" s="15" t="str">
        <f>TEXT(WEEKDAY(DATE(AnnéeCalendrier,10,19),1),"jjj")</f>
        <v>lun</v>
      </c>
      <c r="V5" s="15" t="str">
        <f>TEXT(WEEKDAY(DATE(AnnéeCalendrier,10,20),1),"jjj")</f>
        <v>mar</v>
      </c>
      <c r="W5" s="15" t="str">
        <f>TEXT(WEEKDAY(DATE(AnnéeCalendrier,10,21),1),"jjj")</f>
        <v>mer</v>
      </c>
      <c r="X5" s="15" t="str">
        <f>TEXT(WEEKDAY(DATE(AnnéeCalendrier,10,22),1),"jjj")</f>
        <v>jeu</v>
      </c>
      <c r="Y5" s="15" t="str">
        <f>TEXT(WEEKDAY(DATE(AnnéeCalendrier,10,23),1),"jjj")</f>
        <v>ven</v>
      </c>
      <c r="Z5" s="15" t="str">
        <f>TEXT(WEEKDAY(DATE(AnnéeCalendrier,10,24),1),"jjj")</f>
        <v>sam</v>
      </c>
      <c r="AA5" s="15" t="str">
        <f>TEXT(WEEKDAY(DATE(AnnéeCalendrier,10,25),1),"jjj")</f>
        <v>dim</v>
      </c>
      <c r="AB5" s="15" t="str">
        <f>TEXT(WEEKDAY(DATE(AnnéeCalendrier,10,26),1),"jjj")</f>
        <v>lun</v>
      </c>
      <c r="AC5" s="15" t="str">
        <f>TEXT(WEEKDAY(DATE(AnnéeCalendrier,10,27),1),"jjj")</f>
        <v>mar</v>
      </c>
      <c r="AD5" s="15" t="str">
        <f>TEXT(WEEKDAY(DATE(AnnéeCalendrier,10,28),1),"jjj")</f>
        <v>mer</v>
      </c>
      <c r="AE5" s="15" t="str">
        <f>TEXT(WEEKDAY(DATE(AnnéeCalendrier,10,29),1),"jjj")</f>
        <v>jeu</v>
      </c>
      <c r="AF5" s="15" t="str">
        <f>TEXT(WEEKDAY(DATE(AnnéeCalendrier,10,30),1),"jjj")</f>
        <v>ven</v>
      </c>
      <c r="AG5" s="15" t="str">
        <f>TEXT(WEEKDAY(DATE(AnnéeCalendrier,10,31),1),"jjj")</f>
        <v>sam</v>
      </c>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17" t="s">
        <v>34</v>
      </c>
      <c r="AH6" s="18" t="s">
        <v>36</v>
      </c>
    </row>
    <row r="7" spans="1:34" ht="30" customHeight="1" x14ac:dyDescent="0.25">
      <c r="B7" s="27" t="s">
        <v>58</v>
      </c>
      <c r="C7" s="17"/>
      <c r="D7" s="17"/>
      <c r="E7" s="20"/>
      <c r="F7" s="20"/>
      <c r="G7" s="17"/>
      <c r="H7" s="17"/>
      <c r="I7" s="17"/>
      <c r="J7" s="17"/>
      <c r="K7" s="17"/>
      <c r="L7" s="20"/>
      <c r="M7" s="20"/>
      <c r="N7" s="17"/>
      <c r="O7" s="17"/>
      <c r="P7" s="17"/>
      <c r="Q7" s="17"/>
      <c r="R7" s="17"/>
      <c r="S7" s="20"/>
      <c r="T7" s="20"/>
      <c r="U7" s="17" t="s">
        <v>51</v>
      </c>
      <c r="V7" s="17" t="s">
        <v>51</v>
      </c>
      <c r="W7" s="17" t="s">
        <v>51</v>
      </c>
      <c r="X7" s="17" t="s">
        <v>51</v>
      </c>
      <c r="Y7" s="17" t="s">
        <v>51</v>
      </c>
      <c r="Z7" s="20"/>
      <c r="AA7" s="20"/>
      <c r="AB7" s="17"/>
      <c r="AC7" s="17"/>
      <c r="AD7" s="17"/>
      <c r="AE7" s="17"/>
      <c r="AF7" s="17"/>
      <c r="AG7" s="20"/>
      <c r="AH7" s="21">
        <f>COUNTA(Octobre[[#This Row],[1]:[31]])</f>
        <v>5</v>
      </c>
    </row>
    <row r="8" spans="1:34" ht="30" customHeight="1" x14ac:dyDescent="0.25">
      <c r="B8" s="27" t="s">
        <v>59</v>
      </c>
      <c r="C8" s="17"/>
      <c r="D8" s="17"/>
      <c r="E8" s="20"/>
      <c r="F8" s="20"/>
      <c r="G8" s="17"/>
      <c r="H8" s="17"/>
      <c r="I8" s="17"/>
      <c r="J8" s="17"/>
      <c r="K8" s="17"/>
      <c r="L8" s="20"/>
      <c r="M8" s="20"/>
      <c r="N8" s="17"/>
      <c r="O8" s="17"/>
      <c r="P8" s="17"/>
      <c r="Q8" s="17"/>
      <c r="R8" s="17"/>
      <c r="S8" s="20"/>
      <c r="T8" s="20"/>
      <c r="U8" s="17"/>
      <c r="V8" s="17"/>
      <c r="W8" s="17"/>
      <c r="X8" s="17"/>
      <c r="Y8" s="17"/>
      <c r="Z8" s="20"/>
      <c r="AA8" s="20"/>
      <c r="AB8" s="17"/>
      <c r="AC8" s="17"/>
      <c r="AD8" s="17"/>
      <c r="AE8" s="17"/>
      <c r="AF8" s="17"/>
      <c r="AG8" s="20"/>
      <c r="AH8" s="21">
        <f>COUNTA(Octobre[[#This Row],[1]:[31]])</f>
        <v>0</v>
      </c>
    </row>
    <row r="9" spans="1:34" ht="30" customHeight="1" x14ac:dyDescent="0.25">
      <c r="B9" s="27" t="s">
        <v>60</v>
      </c>
      <c r="C9" s="17"/>
      <c r="D9" s="17"/>
      <c r="E9" s="20"/>
      <c r="F9" s="20"/>
      <c r="G9" s="17"/>
      <c r="H9" s="17"/>
      <c r="I9" s="17"/>
      <c r="J9" s="17"/>
      <c r="K9" s="17"/>
      <c r="L9" s="20"/>
      <c r="M9" s="20"/>
      <c r="N9" s="17"/>
      <c r="O9" s="17"/>
      <c r="P9" s="17"/>
      <c r="Q9" s="17"/>
      <c r="R9" s="17"/>
      <c r="S9" s="20"/>
      <c r="T9" s="20"/>
      <c r="U9" s="17"/>
      <c r="V9" s="17"/>
      <c r="W9" s="17"/>
      <c r="X9" s="17"/>
      <c r="Y9" s="17"/>
      <c r="Z9" s="20"/>
      <c r="AA9" s="20"/>
      <c r="AB9" s="17"/>
      <c r="AC9" s="17"/>
      <c r="AD9" s="17"/>
      <c r="AE9" s="17"/>
      <c r="AF9" s="17"/>
      <c r="AG9" s="20"/>
      <c r="AH9" s="21">
        <f>COUNTA(Octobre[[#This Row],[1]:[31]])</f>
        <v>0</v>
      </c>
    </row>
    <row r="10" spans="1:34" ht="30" customHeight="1" x14ac:dyDescent="0.25">
      <c r="B10" s="22" t="str">
        <f>NomMois&amp;" Total"</f>
        <v>Octobre Total</v>
      </c>
      <c r="C10" s="24">
        <f>SUBTOTAL(103,Octobre[1])</f>
        <v>0</v>
      </c>
      <c r="D10" s="24">
        <f>SUBTOTAL(103,Octobre[5])</f>
        <v>0</v>
      </c>
      <c r="E10" s="23">
        <f>SUBTOTAL(103,'2020-Janvier'!$E$7:$E$9)</f>
        <v>0</v>
      </c>
      <c r="F10" s="23">
        <f>SUBTOTAL(103,'2020-Janvier'!$E$7:$E$9)</f>
        <v>0</v>
      </c>
      <c r="G10" s="24">
        <f>SUBTOTAL(103,Octobre[5])</f>
        <v>0</v>
      </c>
      <c r="H10" s="24">
        <f>SUBTOTAL(103,Octobre[6])</f>
        <v>0</v>
      </c>
      <c r="I10" s="24">
        <f>SUBTOTAL(103,Octobre[7])</f>
        <v>0</v>
      </c>
      <c r="J10" s="24">
        <f>SUBTOTAL(103,Octobre[8])</f>
        <v>0</v>
      </c>
      <c r="K10" s="24">
        <f>SUBTOTAL(103,Octobre[5])</f>
        <v>0</v>
      </c>
      <c r="L10" s="23">
        <f>SUBTOTAL(103,'2020-Janvier'!$E$7:$E$9)</f>
        <v>0</v>
      </c>
      <c r="M10" s="23">
        <f>SUBTOTAL(103,'2020-Janvier'!$E$7:$E$9)</f>
        <v>0</v>
      </c>
      <c r="N10" s="24">
        <f>SUBTOTAL(103,Octobre[12])</f>
        <v>0</v>
      </c>
      <c r="O10" s="24">
        <f>SUBTOTAL(103,Octobre[13])</f>
        <v>0</v>
      </c>
      <c r="P10" s="24">
        <f>SUBTOTAL(103,Octobre[14])</f>
        <v>0</v>
      </c>
      <c r="Q10" s="24">
        <f>SUBTOTAL(103,Octobre[15])</f>
        <v>0</v>
      </c>
      <c r="R10" s="24">
        <f>SUBTOTAL(103,Octobre[5])</f>
        <v>0</v>
      </c>
      <c r="S10" s="23">
        <f>SUBTOTAL(103,'2020-Janvier'!$E$7:$E$9)</f>
        <v>0</v>
      </c>
      <c r="T10" s="23">
        <f>SUBTOTAL(103,'2020-Janvier'!$E$7:$E$9)</f>
        <v>0</v>
      </c>
      <c r="U10" s="24">
        <f>SUBTOTAL(103,Octobre[19])</f>
        <v>1</v>
      </c>
      <c r="V10" s="24">
        <f>SUBTOTAL(103,Octobre[20])</f>
        <v>1</v>
      </c>
      <c r="W10" s="24">
        <f>SUBTOTAL(103,Octobre[21])</f>
        <v>1</v>
      </c>
      <c r="X10" s="24">
        <f>SUBTOTAL(103,Octobre[22])</f>
        <v>1</v>
      </c>
      <c r="Y10" s="24">
        <f>SUBTOTAL(103,Octobre[23])</f>
        <v>1</v>
      </c>
      <c r="Z10" s="23">
        <f>SUBTOTAL(103,'2020-Janvier'!$E$7:$E$9)</f>
        <v>0</v>
      </c>
      <c r="AA10" s="23">
        <f>SUBTOTAL(103,'2020-Janvier'!$E$7:$E$9)</f>
        <v>0</v>
      </c>
      <c r="AB10" s="24">
        <f>SUBTOTAL(103,Octobre[26])</f>
        <v>0</v>
      </c>
      <c r="AC10" s="24">
        <f>SUBTOTAL(103,Octobre[27])</f>
        <v>0</v>
      </c>
      <c r="AD10" s="24">
        <f>SUBTOTAL(103,Octobre[28])</f>
        <v>0</v>
      </c>
      <c r="AE10" s="24">
        <f>SUBTOTAL(103,Octobre[29])</f>
        <v>0</v>
      </c>
      <c r="AF10" s="24">
        <f>SUBTOTAL(103,Octobre[28])</f>
        <v>0</v>
      </c>
      <c r="AG10" s="23">
        <f>SUBTOTAL(103,'2020-Janvier'!$E$7:$E$9)</f>
        <v>0</v>
      </c>
      <c r="AH10" s="24">
        <f>SUBTOTAL(109,Octobre[Total des jours])</f>
        <v>5</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E2:G2"/>
    <mergeCell ref="I2:K2"/>
    <mergeCell ref="M2:O2"/>
    <mergeCell ref="AG12:AH12"/>
  </mergeCells>
  <conditionalFormatting sqref="AH7:AH9">
    <cfRule type="dataBar" priority="245">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conditionalFormatting sqref="C7:C9 E7:E9 G7:J9 N7:Q9 U7:X9 AB7:AE9 AG7:AG9">
    <cfRule type="expression" priority="49" stopIfTrue="1">
      <formula>C7=""</formula>
    </cfRule>
    <cfRule type="cellIs" dxfId="328" priority="50" stopIfTrue="1" operator="equal">
      <formula>"A"</formula>
    </cfRule>
    <cfRule type="cellIs" dxfId="327" priority="51" stopIfTrue="1" operator="equal">
      <formula>"M"</formula>
    </cfRule>
    <cfRule type="cellIs" dxfId="326" priority="52" stopIfTrue="1" operator="equal">
      <formula>"J"</formula>
    </cfRule>
  </conditionalFormatting>
  <conditionalFormatting sqref="D7:D9">
    <cfRule type="expression" priority="45" stopIfTrue="1">
      <formula>D7=""</formula>
    </cfRule>
    <cfRule type="cellIs" dxfId="325" priority="46" stopIfTrue="1" operator="equal">
      <formula>"A"</formula>
    </cfRule>
    <cfRule type="cellIs" dxfId="324" priority="47" stopIfTrue="1" operator="equal">
      <formula>"M"</formula>
    </cfRule>
    <cfRule type="cellIs" dxfId="323" priority="48" stopIfTrue="1" operator="equal">
      <formula>"J"</formula>
    </cfRule>
  </conditionalFormatting>
  <conditionalFormatting sqref="F7:F9">
    <cfRule type="expression" priority="41" stopIfTrue="1">
      <formula>F7=""</formula>
    </cfRule>
    <cfRule type="cellIs" dxfId="322" priority="42" stopIfTrue="1" operator="equal">
      <formula>"A"</formula>
    </cfRule>
    <cfRule type="cellIs" dxfId="321" priority="43" stopIfTrue="1" operator="equal">
      <formula>"M"</formula>
    </cfRule>
    <cfRule type="cellIs" dxfId="320" priority="44" stopIfTrue="1" operator="equal">
      <formula>"J"</formula>
    </cfRule>
  </conditionalFormatting>
  <conditionalFormatting sqref="L7:L9">
    <cfRule type="expression" priority="37" stopIfTrue="1">
      <formula>L7=""</formula>
    </cfRule>
    <cfRule type="cellIs" dxfId="319" priority="38" stopIfTrue="1" operator="equal">
      <formula>"A"</formula>
    </cfRule>
    <cfRule type="cellIs" dxfId="318" priority="39" stopIfTrue="1" operator="equal">
      <formula>"M"</formula>
    </cfRule>
    <cfRule type="cellIs" dxfId="317" priority="40" stopIfTrue="1" operator="equal">
      <formula>"J"</formula>
    </cfRule>
  </conditionalFormatting>
  <conditionalFormatting sqref="K7:K9">
    <cfRule type="expression" priority="33" stopIfTrue="1">
      <formula>K7=""</formula>
    </cfRule>
    <cfRule type="cellIs" dxfId="316" priority="34" stopIfTrue="1" operator="equal">
      <formula>"A"</formula>
    </cfRule>
    <cfRule type="cellIs" dxfId="315" priority="35" stopIfTrue="1" operator="equal">
      <formula>"M"</formula>
    </cfRule>
    <cfRule type="cellIs" dxfId="314" priority="36" stopIfTrue="1" operator="equal">
      <formula>"J"</formula>
    </cfRule>
  </conditionalFormatting>
  <conditionalFormatting sqref="M7:M9">
    <cfRule type="expression" priority="29" stopIfTrue="1">
      <formula>M7=""</formula>
    </cfRule>
    <cfRule type="cellIs" dxfId="313" priority="30" stopIfTrue="1" operator="equal">
      <formula>"A"</formula>
    </cfRule>
    <cfRule type="cellIs" dxfId="312" priority="31" stopIfTrue="1" operator="equal">
      <formula>"M"</formula>
    </cfRule>
    <cfRule type="cellIs" dxfId="311" priority="32" stopIfTrue="1" operator="equal">
      <formula>"J"</formula>
    </cfRule>
  </conditionalFormatting>
  <conditionalFormatting sqref="S7:S9">
    <cfRule type="expression" priority="25" stopIfTrue="1">
      <formula>S7=""</formula>
    </cfRule>
    <cfRule type="cellIs" dxfId="310" priority="26" stopIfTrue="1" operator="equal">
      <formula>"A"</formula>
    </cfRule>
    <cfRule type="cellIs" dxfId="309" priority="27" stopIfTrue="1" operator="equal">
      <formula>"M"</formula>
    </cfRule>
    <cfRule type="cellIs" dxfId="308" priority="28" stopIfTrue="1" operator="equal">
      <formula>"J"</formula>
    </cfRule>
  </conditionalFormatting>
  <conditionalFormatting sqref="R7:R9">
    <cfRule type="expression" priority="21" stopIfTrue="1">
      <formula>R7=""</formula>
    </cfRule>
    <cfRule type="cellIs" dxfId="307" priority="22" stopIfTrue="1" operator="equal">
      <formula>"A"</formula>
    </cfRule>
    <cfRule type="cellIs" dxfId="306" priority="23" stopIfTrue="1" operator="equal">
      <formula>"M"</formula>
    </cfRule>
    <cfRule type="cellIs" dxfId="305" priority="24" stopIfTrue="1" operator="equal">
      <formula>"J"</formula>
    </cfRule>
  </conditionalFormatting>
  <conditionalFormatting sqref="T7:T9">
    <cfRule type="expression" priority="17" stopIfTrue="1">
      <formula>T7=""</formula>
    </cfRule>
    <cfRule type="cellIs" dxfId="304" priority="18" stopIfTrue="1" operator="equal">
      <formula>"A"</formula>
    </cfRule>
    <cfRule type="cellIs" dxfId="303" priority="19" stopIfTrue="1" operator="equal">
      <formula>"M"</formula>
    </cfRule>
    <cfRule type="cellIs" dxfId="302" priority="20" stopIfTrue="1" operator="equal">
      <formula>"J"</formula>
    </cfRule>
  </conditionalFormatting>
  <conditionalFormatting sqref="Z7:Z9">
    <cfRule type="expression" priority="13" stopIfTrue="1">
      <formula>Z7=""</formula>
    </cfRule>
    <cfRule type="cellIs" dxfId="301" priority="14" stopIfTrue="1" operator="equal">
      <formula>"A"</formula>
    </cfRule>
    <cfRule type="cellIs" dxfId="300" priority="15" stopIfTrue="1" operator="equal">
      <formula>"M"</formula>
    </cfRule>
    <cfRule type="cellIs" dxfId="299" priority="16" stopIfTrue="1" operator="equal">
      <formula>"J"</formula>
    </cfRule>
  </conditionalFormatting>
  <conditionalFormatting sqref="Y7:Y9">
    <cfRule type="expression" priority="9" stopIfTrue="1">
      <formula>Y7=""</formula>
    </cfRule>
    <cfRule type="cellIs" dxfId="298" priority="10" stopIfTrue="1" operator="equal">
      <formula>"A"</formula>
    </cfRule>
    <cfRule type="cellIs" dxfId="297" priority="11" stopIfTrue="1" operator="equal">
      <formula>"M"</formula>
    </cfRule>
    <cfRule type="cellIs" dxfId="296" priority="12" stopIfTrue="1" operator="equal">
      <formula>"J"</formula>
    </cfRule>
  </conditionalFormatting>
  <conditionalFormatting sqref="AA7:AA9">
    <cfRule type="expression" priority="5" stopIfTrue="1">
      <formula>AA7=""</formula>
    </cfRule>
    <cfRule type="cellIs" dxfId="295" priority="6" stopIfTrue="1" operator="equal">
      <formula>"A"</formula>
    </cfRule>
    <cfRule type="cellIs" dxfId="294" priority="7" stopIfTrue="1" operator="equal">
      <formula>"M"</formula>
    </cfRule>
    <cfRule type="cellIs" dxfId="293" priority="8" stopIfTrue="1" operator="equal">
      <formula>"J"</formula>
    </cfRule>
  </conditionalFormatting>
  <conditionalFormatting sqref="AF7:AF9">
    <cfRule type="expression" priority="1" stopIfTrue="1">
      <formula>AF7=""</formula>
    </cfRule>
    <cfRule type="cellIs" dxfId="292" priority="2" stopIfTrue="1" operator="equal">
      <formula>"A"</formula>
    </cfRule>
    <cfRule type="cellIs" dxfId="291" priority="3" stopIfTrue="1" operator="equal">
      <formula>"M"</formula>
    </cfRule>
    <cfRule type="cellIs" dxfId="290" priority="4" stopIfTrue="1" operator="equal">
      <formula>"J"</formula>
    </cfRule>
  </conditionalFormatting>
  <dataValidations count="1">
    <dataValidation allowBlank="1" showErrorMessage="1" sqref="AH3 A1:B1 L2 H2 D2 B2" xr:uid="{F1086FC7-91CD-4FE8-8B5F-24CBF85B4C80}"/>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employés'!$B$4:$B$6</xm:f>
          </x14:formula1>
          <xm:sqref>B7:B9</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tabColor theme="2" tint="-9.9978637043366805E-2"/>
  </sheetPr>
  <dimension ref="A1:AH13"/>
  <sheetViews>
    <sheetView showGridLines="0" zoomScaleNormal="100" workbookViewId="0">
      <selection activeCell="L15" sqref="L15"/>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67</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48</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TEXT(WEEKDAY(DATE(AnnéeCalendrier,11,1),1),"jjj")</f>
        <v>dim</v>
      </c>
      <c r="D5" s="15" t="str">
        <f>TEXT(WEEKDAY(DATE(AnnéeCalendrier,11,2),1),"jjj")</f>
        <v>lun</v>
      </c>
      <c r="E5" s="15" t="str">
        <f>TEXT(WEEKDAY(DATE(AnnéeCalendrier,11,3),1),"jjj")</f>
        <v>mar</v>
      </c>
      <c r="F5" s="15" t="str">
        <f>TEXT(WEEKDAY(DATE(AnnéeCalendrier,11,4),1),"jjj")</f>
        <v>mer</v>
      </c>
      <c r="G5" s="15" t="str">
        <f>TEXT(WEEKDAY(DATE(AnnéeCalendrier,11,5),1),"jjj")</f>
        <v>jeu</v>
      </c>
      <c r="H5" s="15" t="str">
        <f>TEXT(WEEKDAY(DATE(AnnéeCalendrier,11,6),1),"jjj")</f>
        <v>ven</v>
      </c>
      <c r="I5" s="15" t="str">
        <f>TEXT(WEEKDAY(DATE(AnnéeCalendrier,11,7),1),"jjj")</f>
        <v>sam</v>
      </c>
      <c r="J5" s="15" t="str">
        <f>TEXT(WEEKDAY(DATE(AnnéeCalendrier,11,8),1),"jjj")</f>
        <v>dim</v>
      </c>
      <c r="K5" s="15" t="str">
        <f>TEXT(WEEKDAY(DATE(AnnéeCalendrier,11,9),1),"jjj")</f>
        <v>lun</v>
      </c>
      <c r="L5" s="15" t="str">
        <f>TEXT(WEEKDAY(DATE(AnnéeCalendrier,11,10),1),"jjj")</f>
        <v>mar</v>
      </c>
      <c r="M5" s="15" t="str">
        <f>TEXT(WEEKDAY(DATE(AnnéeCalendrier,11,11),1),"jjj")</f>
        <v>mer</v>
      </c>
      <c r="N5" s="15" t="str">
        <f>TEXT(WEEKDAY(DATE(AnnéeCalendrier,11,12),1),"jjj")</f>
        <v>jeu</v>
      </c>
      <c r="O5" s="15" t="str">
        <f>TEXT(WEEKDAY(DATE(AnnéeCalendrier,11,13),1),"jjj")</f>
        <v>ven</v>
      </c>
      <c r="P5" s="15" t="str">
        <f>TEXT(WEEKDAY(DATE(AnnéeCalendrier,11,14),1),"jjj")</f>
        <v>sam</v>
      </c>
      <c r="Q5" s="15" t="str">
        <f>TEXT(WEEKDAY(DATE(AnnéeCalendrier,11,15),1),"jjj")</f>
        <v>dim</v>
      </c>
      <c r="R5" s="15" t="str">
        <f>TEXT(WEEKDAY(DATE(AnnéeCalendrier,11,16),1),"jjj")</f>
        <v>lun</v>
      </c>
      <c r="S5" s="15" t="str">
        <f>TEXT(WEEKDAY(DATE(AnnéeCalendrier,11,17),1),"jjj")</f>
        <v>mar</v>
      </c>
      <c r="T5" s="15" t="str">
        <f>TEXT(WEEKDAY(DATE(AnnéeCalendrier,11,18),1),"jjj")</f>
        <v>mer</v>
      </c>
      <c r="U5" s="15" t="str">
        <f>TEXT(WEEKDAY(DATE(AnnéeCalendrier,11,19),1),"jjj")</f>
        <v>jeu</v>
      </c>
      <c r="V5" s="15" t="str">
        <f>TEXT(WEEKDAY(DATE(AnnéeCalendrier,11,20),1),"jjj")</f>
        <v>ven</v>
      </c>
      <c r="W5" s="15" t="str">
        <f>TEXT(WEEKDAY(DATE(AnnéeCalendrier,11,21),1),"jjj")</f>
        <v>sam</v>
      </c>
      <c r="X5" s="15" t="str">
        <f>TEXT(WEEKDAY(DATE(AnnéeCalendrier,11,22),1),"jjj")</f>
        <v>dim</v>
      </c>
      <c r="Y5" s="15" t="str">
        <f>TEXT(WEEKDAY(DATE(AnnéeCalendrier,11,23),1),"jjj")</f>
        <v>lun</v>
      </c>
      <c r="Z5" s="15" t="str">
        <f>TEXT(WEEKDAY(DATE(AnnéeCalendrier,11,24),1),"jjj")</f>
        <v>mar</v>
      </c>
      <c r="AA5" s="15" t="str">
        <f>TEXT(WEEKDAY(DATE(AnnéeCalendrier,11,25),1),"jjj")</f>
        <v>mer</v>
      </c>
      <c r="AB5" s="15" t="str">
        <f>TEXT(WEEKDAY(DATE(AnnéeCalendrier,11,26),1),"jjj")</f>
        <v>jeu</v>
      </c>
      <c r="AC5" s="15" t="str">
        <f>TEXT(WEEKDAY(DATE(AnnéeCalendrier,11,27),1),"jjj")</f>
        <v>ven</v>
      </c>
      <c r="AD5" s="15" t="str">
        <f>TEXT(WEEKDAY(DATE(AnnéeCalendrier,11,28),1),"jjj")</f>
        <v>sam</v>
      </c>
      <c r="AE5" s="15" t="str">
        <f>TEXT(WEEKDAY(DATE(AnnéeCalendrier,11,29),1),"jjj")</f>
        <v>dim</v>
      </c>
      <c r="AF5" s="15" t="str">
        <f>TEXT(WEEKDAY(DATE(AnnéeCalendrier,11,30),1),"jjj")</f>
        <v>lun</v>
      </c>
      <c r="AG5" s="15"/>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17" t="s">
        <v>38</v>
      </c>
      <c r="AH6" s="18" t="s">
        <v>36</v>
      </c>
    </row>
    <row r="7" spans="1:34" ht="30" customHeight="1" x14ac:dyDescent="0.25">
      <c r="B7" s="27" t="s">
        <v>58</v>
      </c>
      <c r="C7" s="20"/>
      <c r="D7" s="17"/>
      <c r="E7" s="17"/>
      <c r="F7" s="17"/>
      <c r="G7" s="17"/>
      <c r="H7" s="17"/>
      <c r="I7" s="20"/>
      <c r="J7" s="20"/>
      <c r="K7" s="17"/>
      <c r="L7" s="17"/>
      <c r="M7" s="20"/>
      <c r="N7" s="17"/>
      <c r="O7" s="17"/>
      <c r="P7" s="20"/>
      <c r="Q7" s="20"/>
      <c r="R7" s="17"/>
      <c r="S7" s="17"/>
      <c r="T7" s="17"/>
      <c r="U7" s="17"/>
      <c r="V7" s="17"/>
      <c r="W7" s="20"/>
      <c r="X7" s="20"/>
      <c r="Y7" s="17"/>
      <c r="Z7" s="17"/>
      <c r="AA7" s="17"/>
      <c r="AB7" s="17"/>
      <c r="AC7" s="17"/>
      <c r="AD7" s="20"/>
      <c r="AE7" s="20"/>
      <c r="AF7" s="17"/>
      <c r="AG7" s="17"/>
      <c r="AH7" s="21">
        <f>COUNTA(Novembre[[#This Row],[1]:[30]])</f>
        <v>0</v>
      </c>
    </row>
    <row r="8" spans="1:34" ht="30" customHeight="1" x14ac:dyDescent="0.25">
      <c r="B8" s="27" t="s">
        <v>59</v>
      </c>
      <c r="C8" s="20"/>
      <c r="D8" s="17"/>
      <c r="E8" s="17"/>
      <c r="F8" s="17"/>
      <c r="G8" s="17"/>
      <c r="H8" s="17"/>
      <c r="I8" s="20"/>
      <c r="J8" s="20"/>
      <c r="K8" s="17"/>
      <c r="L8" s="17"/>
      <c r="M8" s="20"/>
      <c r="N8" s="17"/>
      <c r="O8" s="17"/>
      <c r="P8" s="20"/>
      <c r="Q8" s="20"/>
      <c r="R8" s="17"/>
      <c r="S8" s="17"/>
      <c r="T8" s="17"/>
      <c r="U8" s="17"/>
      <c r="V8" s="17"/>
      <c r="W8" s="20"/>
      <c r="X8" s="20"/>
      <c r="Y8" s="17"/>
      <c r="Z8" s="17"/>
      <c r="AA8" s="17"/>
      <c r="AB8" s="17"/>
      <c r="AC8" s="17"/>
      <c r="AD8" s="20"/>
      <c r="AE8" s="20"/>
      <c r="AF8" s="17"/>
      <c r="AG8" s="17"/>
      <c r="AH8" s="21">
        <f>COUNTA(Novembre[[#This Row],[1]:[30]])</f>
        <v>0</v>
      </c>
    </row>
    <row r="9" spans="1:34" ht="30" customHeight="1" x14ac:dyDescent="0.25">
      <c r="B9" s="27" t="s">
        <v>60</v>
      </c>
      <c r="C9" s="20"/>
      <c r="D9" s="17"/>
      <c r="E9" s="17"/>
      <c r="F9" s="17"/>
      <c r="G9" s="17"/>
      <c r="H9" s="17"/>
      <c r="I9" s="20"/>
      <c r="J9" s="20"/>
      <c r="K9" s="17"/>
      <c r="L9" s="17" t="s">
        <v>51</v>
      </c>
      <c r="M9" s="20"/>
      <c r="N9" s="17"/>
      <c r="O9" s="17"/>
      <c r="P9" s="20"/>
      <c r="Q9" s="20"/>
      <c r="R9" s="17"/>
      <c r="S9" s="17"/>
      <c r="T9" s="17"/>
      <c r="U9" s="17"/>
      <c r="V9" s="17"/>
      <c r="W9" s="20"/>
      <c r="X9" s="20"/>
      <c r="Y9" s="17"/>
      <c r="Z9" s="17"/>
      <c r="AA9" s="17"/>
      <c r="AB9" s="17"/>
      <c r="AC9" s="17"/>
      <c r="AD9" s="20"/>
      <c r="AE9" s="20"/>
      <c r="AF9" s="17"/>
      <c r="AG9" s="17"/>
      <c r="AH9" s="21">
        <f>COUNTA(Novembre[[#This Row],[1]:[30]])</f>
        <v>1</v>
      </c>
    </row>
    <row r="10" spans="1:34" ht="30" customHeight="1" x14ac:dyDescent="0.25">
      <c r="B10" s="22" t="str">
        <f>NomMois&amp;" Total"</f>
        <v>Novembre Total</v>
      </c>
      <c r="C10" s="23">
        <f>SUBTOTAL(103,'2020-Janvier'!$E$7:$E$9)</f>
        <v>0</v>
      </c>
      <c r="D10" s="24">
        <f>SUBTOTAL(103,Novembre[2])</f>
        <v>0</v>
      </c>
      <c r="E10" s="24">
        <f>SUBTOTAL(103,Novembre[3])</f>
        <v>0</v>
      </c>
      <c r="F10" s="24">
        <f>SUBTOTAL(103,Novembre[4])</f>
        <v>0</v>
      </c>
      <c r="G10" s="24">
        <f>SUBTOTAL(103,Novembre[5])</f>
        <v>0</v>
      </c>
      <c r="H10" s="24">
        <f>SUBTOTAL(103,Novembre[5])</f>
        <v>0</v>
      </c>
      <c r="I10" s="23">
        <f>SUBTOTAL(103,'2020-Janvier'!$E$7:$E$9)</f>
        <v>0</v>
      </c>
      <c r="J10" s="23">
        <f>SUBTOTAL(103,'2020-Janvier'!$E$7:$E$9)</f>
        <v>0</v>
      </c>
      <c r="K10" s="24">
        <f>SUBTOTAL(103,Novembre[9])</f>
        <v>0</v>
      </c>
      <c r="L10" s="24">
        <f>SUBTOTAL(103,Novembre[10])</f>
        <v>1</v>
      </c>
      <c r="M10" s="23">
        <f>SUBTOTAL(103,'2020-Janvier'!$E$7:$E$9)</f>
        <v>0</v>
      </c>
      <c r="N10" s="24">
        <f>SUBTOTAL(103,Novembre[12])</f>
        <v>0</v>
      </c>
      <c r="O10" s="24">
        <f>SUBTOTAL(103,Novembre[5])</f>
        <v>0</v>
      </c>
      <c r="P10" s="23">
        <f>SUBTOTAL(103,'2020-Janvier'!$E$7:$E$9)</f>
        <v>0</v>
      </c>
      <c r="Q10" s="23">
        <f>SUBTOTAL(103,'2020-Janvier'!$E$7:$E$9)</f>
        <v>0</v>
      </c>
      <c r="R10" s="24">
        <f>SUBTOTAL(103,Novembre[16])</f>
        <v>0</v>
      </c>
      <c r="S10" s="24">
        <f>SUBTOTAL(103,Novembre[17])</f>
        <v>0</v>
      </c>
      <c r="T10" s="24">
        <f>SUBTOTAL(103,Novembre[18])</f>
        <v>0</v>
      </c>
      <c r="U10" s="24">
        <f>SUBTOTAL(103,Novembre[19])</f>
        <v>0</v>
      </c>
      <c r="V10" s="24">
        <f>SUBTOTAL(103,Novembre[5])</f>
        <v>0</v>
      </c>
      <c r="W10" s="23">
        <f>SUBTOTAL(103,'2020-Janvier'!$E$7:$E$9)</f>
        <v>0</v>
      </c>
      <c r="X10" s="23">
        <f>SUBTOTAL(103,'2020-Janvier'!$E$7:$E$9)</f>
        <v>0</v>
      </c>
      <c r="Y10" s="24">
        <f>SUBTOTAL(103,Novembre[23])</f>
        <v>0</v>
      </c>
      <c r="Z10" s="24">
        <f>SUBTOTAL(103,Novembre[24])</f>
        <v>0</v>
      </c>
      <c r="AA10" s="24">
        <f>SUBTOTAL(103,Novembre[25])</f>
        <v>0</v>
      </c>
      <c r="AB10" s="24">
        <f>SUBTOTAL(103,Novembre[26])</f>
        <v>0</v>
      </c>
      <c r="AC10" s="24">
        <f>SUBTOTAL(103,Novembre[5])</f>
        <v>0</v>
      </c>
      <c r="AD10" s="23">
        <f>SUBTOTAL(103,'2020-Janvier'!$E$7:$E$9)</f>
        <v>0</v>
      </c>
      <c r="AE10" s="23">
        <f>SUBTOTAL(103,'2020-Janvier'!$E$7:$E$9)</f>
        <v>0</v>
      </c>
      <c r="AF10" s="24">
        <f>SUBTOTAL(103,Novembre[30])</f>
        <v>0</v>
      </c>
      <c r="AG10" s="24">
        <f>SUBTOTAL(103,Novembre[[ ]])</f>
        <v>0</v>
      </c>
      <c r="AH10" s="24">
        <f>SUBTOTAL(109,Novembre[Total des jours])</f>
        <v>1</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E2:G2"/>
    <mergeCell ref="I2:K2"/>
    <mergeCell ref="M2:O2"/>
    <mergeCell ref="AG12:AH12"/>
  </mergeCells>
  <conditionalFormatting sqref="AH7:AH9">
    <cfRule type="dataBar" priority="254">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conditionalFormatting sqref="C7:G9 I7:I9 K7:N9 R7:U9 Y7:AB9 AF7:AG9">
    <cfRule type="expression" priority="53" stopIfTrue="1">
      <formula>C7=""</formula>
    </cfRule>
    <cfRule type="cellIs" dxfId="220" priority="54" stopIfTrue="1" operator="equal">
      <formula>"A"</formula>
    </cfRule>
    <cfRule type="cellIs" dxfId="219" priority="55" stopIfTrue="1" operator="equal">
      <formula>"M"</formula>
    </cfRule>
    <cfRule type="cellIs" dxfId="218" priority="56" stopIfTrue="1" operator="equal">
      <formula>"J"</formula>
    </cfRule>
  </conditionalFormatting>
  <conditionalFormatting sqref="H7:H9">
    <cfRule type="expression" priority="49" stopIfTrue="1">
      <formula>H7=""</formula>
    </cfRule>
    <cfRule type="cellIs" dxfId="217" priority="50" stopIfTrue="1" operator="equal">
      <formula>"A"</formula>
    </cfRule>
    <cfRule type="cellIs" dxfId="216" priority="51" stopIfTrue="1" operator="equal">
      <formula>"M"</formula>
    </cfRule>
    <cfRule type="cellIs" dxfId="215" priority="52" stopIfTrue="1" operator="equal">
      <formula>"J"</formula>
    </cfRule>
  </conditionalFormatting>
  <conditionalFormatting sqref="J7:J9">
    <cfRule type="expression" priority="45" stopIfTrue="1">
      <formula>J7=""</formula>
    </cfRule>
    <cfRule type="cellIs" dxfId="214" priority="46" stopIfTrue="1" operator="equal">
      <formula>"A"</formula>
    </cfRule>
    <cfRule type="cellIs" dxfId="213" priority="47" stopIfTrue="1" operator="equal">
      <formula>"M"</formula>
    </cfRule>
    <cfRule type="cellIs" dxfId="212" priority="48" stopIfTrue="1" operator="equal">
      <formula>"J"</formula>
    </cfRule>
  </conditionalFormatting>
  <conditionalFormatting sqref="P7:P9">
    <cfRule type="expression" priority="33" stopIfTrue="1">
      <formula>P7=""</formula>
    </cfRule>
    <cfRule type="cellIs" dxfId="211" priority="34" stopIfTrue="1" operator="equal">
      <formula>"A"</formula>
    </cfRule>
    <cfRule type="cellIs" dxfId="210" priority="35" stopIfTrue="1" operator="equal">
      <formula>"M"</formula>
    </cfRule>
    <cfRule type="cellIs" dxfId="209" priority="36" stopIfTrue="1" operator="equal">
      <formula>"J"</formula>
    </cfRule>
  </conditionalFormatting>
  <conditionalFormatting sqref="O7:O9">
    <cfRule type="expression" priority="29" stopIfTrue="1">
      <formula>O7=""</formula>
    </cfRule>
    <cfRule type="cellIs" dxfId="208" priority="30" stopIfTrue="1" operator="equal">
      <formula>"A"</formula>
    </cfRule>
    <cfRule type="cellIs" dxfId="207" priority="31" stopIfTrue="1" operator="equal">
      <formula>"M"</formula>
    </cfRule>
    <cfRule type="cellIs" dxfId="206" priority="32" stopIfTrue="1" operator="equal">
      <formula>"J"</formula>
    </cfRule>
  </conditionalFormatting>
  <conditionalFormatting sqref="Q7:Q9">
    <cfRule type="expression" priority="25" stopIfTrue="1">
      <formula>Q7=""</formula>
    </cfRule>
    <cfRule type="cellIs" dxfId="205" priority="26" stopIfTrue="1" operator="equal">
      <formula>"A"</formula>
    </cfRule>
    <cfRule type="cellIs" dxfId="204" priority="27" stopIfTrue="1" operator="equal">
      <formula>"M"</formula>
    </cfRule>
    <cfRule type="cellIs" dxfId="203" priority="28" stopIfTrue="1" operator="equal">
      <formula>"J"</formula>
    </cfRule>
  </conditionalFormatting>
  <conditionalFormatting sqref="W7:W9">
    <cfRule type="expression" priority="21" stopIfTrue="1">
      <formula>W7=""</formula>
    </cfRule>
    <cfRule type="cellIs" dxfId="202" priority="22" stopIfTrue="1" operator="equal">
      <formula>"A"</formula>
    </cfRule>
    <cfRule type="cellIs" dxfId="201" priority="23" stopIfTrue="1" operator="equal">
      <formula>"M"</formula>
    </cfRule>
    <cfRule type="cellIs" dxfId="200" priority="24" stopIfTrue="1" operator="equal">
      <formula>"J"</formula>
    </cfRule>
  </conditionalFormatting>
  <conditionalFormatting sqref="V7:V9">
    <cfRule type="expression" priority="17" stopIfTrue="1">
      <formula>V7=""</formula>
    </cfRule>
    <cfRule type="cellIs" dxfId="199" priority="18" stopIfTrue="1" operator="equal">
      <formula>"A"</formula>
    </cfRule>
    <cfRule type="cellIs" dxfId="198" priority="19" stopIfTrue="1" operator="equal">
      <formula>"M"</formula>
    </cfRule>
    <cfRule type="cellIs" dxfId="197" priority="20" stopIfTrue="1" operator="equal">
      <formula>"J"</formula>
    </cfRule>
  </conditionalFormatting>
  <conditionalFormatting sqref="X7:X9">
    <cfRule type="expression" priority="13" stopIfTrue="1">
      <formula>X7=""</formula>
    </cfRule>
    <cfRule type="cellIs" dxfId="196" priority="14" stopIfTrue="1" operator="equal">
      <formula>"A"</formula>
    </cfRule>
    <cfRule type="cellIs" dxfId="195" priority="15" stopIfTrue="1" operator="equal">
      <formula>"M"</formula>
    </cfRule>
    <cfRule type="cellIs" dxfId="194" priority="16" stopIfTrue="1" operator="equal">
      <formula>"J"</formula>
    </cfRule>
  </conditionalFormatting>
  <conditionalFormatting sqref="AD7:AD9">
    <cfRule type="expression" priority="9" stopIfTrue="1">
      <formula>AD7=""</formula>
    </cfRule>
    <cfRule type="cellIs" dxfId="193" priority="10" stopIfTrue="1" operator="equal">
      <formula>"A"</formula>
    </cfRule>
    <cfRule type="cellIs" dxfId="192" priority="11" stopIfTrue="1" operator="equal">
      <formula>"M"</formula>
    </cfRule>
    <cfRule type="cellIs" dxfId="191" priority="12" stopIfTrue="1" operator="equal">
      <formula>"J"</formula>
    </cfRule>
  </conditionalFormatting>
  <conditionalFormatting sqref="AC7:AC9">
    <cfRule type="expression" priority="5" stopIfTrue="1">
      <formula>AC7=""</formula>
    </cfRule>
    <cfRule type="cellIs" dxfId="190" priority="6" stopIfTrue="1" operator="equal">
      <formula>"A"</formula>
    </cfRule>
    <cfRule type="cellIs" dxfId="189" priority="7" stopIfTrue="1" operator="equal">
      <formula>"M"</formula>
    </cfRule>
    <cfRule type="cellIs" dxfId="188" priority="8" stopIfTrue="1" operator="equal">
      <formula>"J"</formula>
    </cfRule>
  </conditionalFormatting>
  <conditionalFormatting sqref="AE7:AE9">
    <cfRule type="expression" priority="1" stopIfTrue="1">
      <formula>AE7=""</formula>
    </cfRule>
    <cfRule type="cellIs" dxfId="187" priority="2" stopIfTrue="1" operator="equal">
      <formula>"A"</formula>
    </cfRule>
    <cfRule type="cellIs" dxfId="186" priority="3" stopIfTrue="1" operator="equal">
      <formula>"M"</formula>
    </cfRule>
    <cfRule type="cellIs" dxfId="185" priority="4" stopIfTrue="1" operator="equal">
      <formula>"J"</formula>
    </cfRule>
  </conditionalFormatting>
  <dataValidations count="1">
    <dataValidation allowBlank="1" showErrorMessage="1" sqref="AH3 A1:B1 L2 H2 D2 B2" xr:uid="{B1CF230B-FA88-4FD4-BCAD-1AE647D614EE}"/>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employés'!$B$4:$B$6</xm:f>
          </x14:formula1>
          <xm:sqref>B7:B9</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theme="2"/>
  </sheetPr>
  <dimension ref="A1:AH13"/>
  <sheetViews>
    <sheetView showGridLines="0" zoomScaleNormal="100" workbookViewId="0">
      <selection activeCell="J19" sqref="J19"/>
    </sheetView>
  </sheetViews>
  <sheetFormatPr baseColWidth="10" defaultColWidth="9.140625" defaultRowHeight="30" customHeight="1" x14ac:dyDescent="0.25"/>
  <cols>
    <col min="1" max="1" width="2.7109375" style="6" customWidth="1"/>
    <col min="2" max="2" width="25.7109375" style="6" customWidth="1"/>
    <col min="3" max="33" width="4.7109375" style="6" customWidth="1"/>
    <col min="34" max="34" width="13.5703125" style="6" customWidth="1"/>
    <col min="35" max="35" width="2.7109375" style="12" customWidth="1"/>
    <col min="36" max="16384" width="9.140625" style="12"/>
  </cols>
  <sheetData>
    <row r="1" spans="1:34" s="5" customFormat="1" ht="45" customHeight="1" x14ac:dyDescent="0.25">
      <c r="A1" s="1"/>
      <c r="B1" s="2" t="s">
        <v>67</v>
      </c>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4"/>
      <c r="AH1" s="3"/>
    </row>
    <row r="2" spans="1:34" ht="15" customHeight="1" x14ac:dyDescent="0.25">
      <c r="B2" s="7" t="s">
        <v>56</v>
      </c>
      <c r="D2" s="8" t="s">
        <v>51</v>
      </c>
      <c r="E2" s="34" t="s">
        <v>52</v>
      </c>
      <c r="F2" s="34"/>
      <c r="G2" s="34"/>
      <c r="H2" s="9" t="s">
        <v>7</v>
      </c>
      <c r="I2" s="34" t="s">
        <v>53</v>
      </c>
      <c r="J2" s="34"/>
      <c r="K2" s="34"/>
      <c r="L2" s="10" t="s">
        <v>54</v>
      </c>
      <c r="M2" s="35" t="s">
        <v>55</v>
      </c>
      <c r="N2" s="35"/>
      <c r="O2" s="35"/>
      <c r="V2" s="11"/>
    </row>
    <row r="3" spans="1:34" ht="15" customHeight="1" x14ac:dyDescent="0.25">
      <c r="AH3" s="13" t="s">
        <v>35</v>
      </c>
    </row>
    <row r="4" spans="1:34" ht="30" customHeight="1" x14ac:dyDescent="0.25">
      <c r="B4" s="14" t="s">
        <v>49</v>
      </c>
      <c r="C4" s="33" t="s">
        <v>2</v>
      </c>
      <c r="D4" s="33"/>
      <c r="E4" s="33"/>
      <c r="F4" s="33"/>
      <c r="G4" s="33"/>
      <c r="H4" s="33"/>
      <c r="I4" s="33"/>
      <c r="J4" s="33"/>
      <c r="K4" s="33"/>
      <c r="L4" s="33"/>
      <c r="M4" s="33"/>
      <c r="N4" s="33"/>
      <c r="O4" s="33"/>
      <c r="P4" s="33"/>
      <c r="Q4" s="33"/>
      <c r="R4" s="33"/>
      <c r="S4" s="33"/>
      <c r="T4" s="33"/>
      <c r="U4" s="33"/>
      <c r="V4" s="33"/>
      <c r="W4" s="33"/>
      <c r="X4" s="33"/>
      <c r="Y4" s="33"/>
      <c r="Z4" s="33"/>
      <c r="AA4" s="33"/>
      <c r="AB4" s="33"/>
      <c r="AC4" s="33"/>
      <c r="AD4" s="33"/>
      <c r="AE4" s="33"/>
      <c r="AF4" s="33"/>
      <c r="AG4" s="33"/>
      <c r="AH4" s="14">
        <f>AnnéeCalendrier</f>
        <v>2020</v>
      </c>
    </row>
    <row r="5" spans="1:34" ht="15" customHeight="1" x14ac:dyDescent="0.25">
      <c r="B5" s="14"/>
      <c r="C5" s="15" t="str">
        <f>TEXT(WEEKDAY(DATE(AnnéeCalendrier,12,1),1),"jjj")</f>
        <v>mar</v>
      </c>
      <c r="D5" s="15" t="str">
        <f>TEXT(WEEKDAY(DATE(AnnéeCalendrier,12,2),1),"jjj")</f>
        <v>mer</v>
      </c>
      <c r="E5" s="15" t="str">
        <f>TEXT(WEEKDAY(DATE(AnnéeCalendrier,12,3),1),"jjj")</f>
        <v>jeu</v>
      </c>
      <c r="F5" s="15" t="str">
        <f>TEXT(WEEKDAY(DATE(AnnéeCalendrier,12,4),1),"jjj")</f>
        <v>ven</v>
      </c>
      <c r="G5" s="15" t="str">
        <f>TEXT(WEEKDAY(DATE(AnnéeCalendrier,12,5),1),"jjj")</f>
        <v>sam</v>
      </c>
      <c r="H5" s="15" t="str">
        <f>TEXT(WEEKDAY(DATE(AnnéeCalendrier,12,6),1),"jjj")</f>
        <v>dim</v>
      </c>
      <c r="I5" s="15" t="str">
        <f>TEXT(WEEKDAY(DATE(AnnéeCalendrier,12,7),1),"jjj")</f>
        <v>lun</v>
      </c>
      <c r="J5" s="15" t="str">
        <f>TEXT(WEEKDAY(DATE(AnnéeCalendrier,12,8),1),"jjj")</f>
        <v>mar</v>
      </c>
      <c r="K5" s="15" t="str">
        <f>TEXT(WEEKDAY(DATE(AnnéeCalendrier,12,9),1),"jjj")</f>
        <v>mer</v>
      </c>
      <c r="L5" s="15" t="str">
        <f>TEXT(WEEKDAY(DATE(AnnéeCalendrier,12,10),1),"jjj")</f>
        <v>jeu</v>
      </c>
      <c r="M5" s="15" t="str">
        <f>TEXT(WEEKDAY(DATE(AnnéeCalendrier,12,11),1),"jjj")</f>
        <v>ven</v>
      </c>
      <c r="N5" s="15" t="str">
        <f>TEXT(WEEKDAY(DATE(AnnéeCalendrier,12,12),1),"jjj")</f>
        <v>sam</v>
      </c>
      <c r="O5" s="15" t="str">
        <f>TEXT(WEEKDAY(DATE(AnnéeCalendrier,12,13),1),"jjj")</f>
        <v>dim</v>
      </c>
      <c r="P5" s="15" t="str">
        <f>TEXT(WEEKDAY(DATE(AnnéeCalendrier,12,14),1),"jjj")</f>
        <v>lun</v>
      </c>
      <c r="Q5" s="15" t="str">
        <f>TEXT(WEEKDAY(DATE(AnnéeCalendrier,12,15),1),"jjj")</f>
        <v>mar</v>
      </c>
      <c r="R5" s="15" t="str">
        <f>TEXT(WEEKDAY(DATE(AnnéeCalendrier,12,16),1),"jjj")</f>
        <v>mer</v>
      </c>
      <c r="S5" s="15" t="str">
        <f>TEXT(WEEKDAY(DATE(AnnéeCalendrier,12,17),1),"jjj")</f>
        <v>jeu</v>
      </c>
      <c r="T5" s="15" t="str">
        <f>TEXT(WEEKDAY(DATE(AnnéeCalendrier,12,18),1),"jjj")</f>
        <v>ven</v>
      </c>
      <c r="U5" s="15" t="str">
        <f>TEXT(WEEKDAY(DATE(AnnéeCalendrier,12,19),1),"jjj")</f>
        <v>sam</v>
      </c>
      <c r="V5" s="15" t="str">
        <f>TEXT(WEEKDAY(DATE(AnnéeCalendrier,12,20),1),"jjj")</f>
        <v>dim</v>
      </c>
      <c r="W5" s="15" t="str">
        <f>TEXT(WEEKDAY(DATE(AnnéeCalendrier,12,21),1),"jjj")</f>
        <v>lun</v>
      </c>
      <c r="X5" s="15" t="str">
        <f>TEXT(WEEKDAY(DATE(AnnéeCalendrier,12,22),1),"jjj")</f>
        <v>mar</v>
      </c>
      <c r="Y5" s="15" t="str">
        <f>TEXT(WEEKDAY(DATE(AnnéeCalendrier,12,23),1),"jjj")</f>
        <v>mer</v>
      </c>
      <c r="Z5" s="15" t="str">
        <f>TEXT(WEEKDAY(DATE(AnnéeCalendrier,12,24),1),"jjj")</f>
        <v>jeu</v>
      </c>
      <c r="AA5" s="15" t="str">
        <f>TEXT(WEEKDAY(DATE(AnnéeCalendrier,12,25),1),"jjj")</f>
        <v>ven</v>
      </c>
      <c r="AB5" s="15" t="str">
        <f>TEXT(WEEKDAY(DATE(AnnéeCalendrier,12,26),1),"jjj")</f>
        <v>sam</v>
      </c>
      <c r="AC5" s="15" t="str">
        <f>TEXT(WEEKDAY(DATE(AnnéeCalendrier,12,27),1),"jjj")</f>
        <v>dim</v>
      </c>
      <c r="AD5" s="15" t="str">
        <f>TEXT(WEEKDAY(DATE(AnnéeCalendrier,12,28),1),"jjj")</f>
        <v>lun</v>
      </c>
      <c r="AE5" s="15" t="str">
        <f>TEXT(WEEKDAY(DATE(AnnéeCalendrier,12,29),1),"jjj")</f>
        <v>mar</v>
      </c>
      <c r="AF5" s="15" t="str">
        <f>TEXT(WEEKDAY(DATE(AnnéeCalendrier,12,30),1),"jjj")</f>
        <v>mer</v>
      </c>
      <c r="AG5" s="15" t="str">
        <f>TEXT(WEEKDAY(DATE(AnnéeCalendrier,12,31),1),"jjj")</f>
        <v>jeu</v>
      </c>
      <c r="AH5" s="14"/>
    </row>
    <row r="6" spans="1:34" ht="15" customHeight="1" x14ac:dyDescent="0.25">
      <c r="B6" s="16" t="s">
        <v>1</v>
      </c>
      <c r="C6" s="17" t="s">
        <v>3</v>
      </c>
      <c r="D6" s="17" t="s">
        <v>4</v>
      </c>
      <c r="E6" s="17" t="s">
        <v>5</v>
      </c>
      <c r="F6" s="17" t="s">
        <v>6</v>
      </c>
      <c r="G6" s="17" t="s">
        <v>8</v>
      </c>
      <c r="H6" s="17" t="s">
        <v>9</v>
      </c>
      <c r="I6" s="17" t="s">
        <v>10</v>
      </c>
      <c r="J6" s="17" t="s">
        <v>11</v>
      </c>
      <c r="K6" s="17" t="s">
        <v>12</v>
      </c>
      <c r="L6" s="17" t="s">
        <v>13</v>
      </c>
      <c r="M6" s="17" t="s">
        <v>14</v>
      </c>
      <c r="N6" s="17" t="s">
        <v>15</v>
      </c>
      <c r="O6" s="17" t="s">
        <v>16</v>
      </c>
      <c r="P6" s="17" t="s">
        <v>17</v>
      </c>
      <c r="Q6" s="17" t="s">
        <v>18</v>
      </c>
      <c r="R6" s="17" t="s">
        <v>19</v>
      </c>
      <c r="S6" s="17" t="s">
        <v>20</v>
      </c>
      <c r="T6" s="17" t="s">
        <v>21</v>
      </c>
      <c r="U6" s="17" t="s">
        <v>22</v>
      </c>
      <c r="V6" s="17" t="s">
        <v>23</v>
      </c>
      <c r="W6" s="17" t="s">
        <v>24</v>
      </c>
      <c r="X6" s="17" t="s">
        <v>25</v>
      </c>
      <c r="Y6" s="17" t="s">
        <v>26</v>
      </c>
      <c r="Z6" s="17" t="s">
        <v>27</v>
      </c>
      <c r="AA6" s="17" t="s">
        <v>28</v>
      </c>
      <c r="AB6" s="17" t="s">
        <v>29</v>
      </c>
      <c r="AC6" s="17" t="s">
        <v>30</v>
      </c>
      <c r="AD6" s="17" t="s">
        <v>31</v>
      </c>
      <c r="AE6" s="17" t="s">
        <v>32</v>
      </c>
      <c r="AF6" s="17" t="s">
        <v>33</v>
      </c>
      <c r="AG6" s="17" t="s">
        <v>34</v>
      </c>
      <c r="AH6" s="18" t="s">
        <v>36</v>
      </c>
    </row>
    <row r="7" spans="1:34" ht="30" customHeight="1" x14ac:dyDescent="0.25">
      <c r="B7" s="27" t="s">
        <v>58</v>
      </c>
      <c r="C7" s="17"/>
      <c r="D7" s="17"/>
      <c r="E7" s="17"/>
      <c r="F7" s="17"/>
      <c r="G7" s="20"/>
      <c r="H7" s="20"/>
      <c r="I7" s="17"/>
      <c r="J7" s="17"/>
      <c r="K7" s="17"/>
      <c r="L7" s="17"/>
      <c r="M7" s="17"/>
      <c r="N7" s="20"/>
      <c r="O7" s="20"/>
      <c r="P7" s="17"/>
      <c r="Q7" s="17"/>
      <c r="R7" s="17"/>
      <c r="S7" s="17"/>
      <c r="T7" s="17"/>
      <c r="U7" s="20"/>
      <c r="V7" s="20"/>
      <c r="W7" s="17"/>
      <c r="X7" s="17"/>
      <c r="Y7" s="17"/>
      <c r="Z7" s="17"/>
      <c r="AA7" s="20"/>
      <c r="AB7" s="20"/>
      <c r="AC7" s="20"/>
      <c r="AD7" s="17"/>
      <c r="AE7" s="17"/>
      <c r="AF7" s="17"/>
      <c r="AG7" s="17"/>
      <c r="AH7" s="21">
        <f>COUNTA(Décembre[[#This Row],[1]:[31]])</f>
        <v>0</v>
      </c>
    </row>
    <row r="8" spans="1:34" ht="30" customHeight="1" x14ac:dyDescent="0.25">
      <c r="B8" s="27" t="s">
        <v>59</v>
      </c>
      <c r="C8" s="17"/>
      <c r="D8" s="17"/>
      <c r="E8" s="17"/>
      <c r="F8" s="17"/>
      <c r="G8" s="20"/>
      <c r="H8" s="20"/>
      <c r="I8" s="17"/>
      <c r="J8" s="17"/>
      <c r="K8" s="17"/>
      <c r="L8" s="17"/>
      <c r="M8" s="17"/>
      <c r="N8" s="20"/>
      <c r="O8" s="20"/>
      <c r="P8" s="17"/>
      <c r="Q8" s="17"/>
      <c r="R8" s="17"/>
      <c r="S8" s="17"/>
      <c r="T8" s="17"/>
      <c r="U8" s="20"/>
      <c r="V8" s="20"/>
      <c r="W8" s="17"/>
      <c r="X8" s="17"/>
      <c r="Y8" s="17"/>
      <c r="Z8" s="17"/>
      <c r="AA8" s="20"/>
      <c r="AB8" s="20"/>
      <c r="AC8" s="20"/>
      <c r="AD8" s="17"/>
      <c r="AE8" s="17"/>
      <c r="AF8" s="17"/>
      <c r="AG8" s="17"/>
      <c r="AH8" s="21">
        <f>COUNTA(Décembre[[#This Row],[1]:[31]])</f>
        <v>0</v>
      </c>
    </row>
    <row r="9" spans="1:34" ht="30" customHeight="1" x14ac:dyDescent="0.25">
      <c r="B9" s="27" t="s">
        <v>60</v>
      </c>
      <c r="C9" s="17"/>
      <c r="D9" s="17"/>
      <c r="E9" s="17"/>
      <c r="F9" s="17"/>
      <c r="G9" s="20"/>
      <c r="H9" s="20"/>
      <c r="I9" s="17"/>
      <c r="J9" s="17"/>
      <c r="K9" s="17"/>
      <c r="L9" s="17"/>
      <c r="M9" s="17"/>
      <c r="N9" s="20"/>
      <c r="O9" s="20"/>
      <c r="P9" s="17"/>
      <c r="Q9" s="17"/>
      <c r="R9" s="17"/>
      <c r="S9" s="17"/>
      <c r="T9" s="17"/>
      <c r="U9" s="20"/>
      <c r="V9" s="20"/>
      <c r="W9" s="17"/>
      <c r="X9" s="17"/>
      <c r="Y9" s="17"/>
      <c r="Z9" s="17" t="s">
        <v>51</v>
      </c>
      <c r="AA9" s="20"/>
      <c r="AB9" s="20"/>
      <c r="AC9" s="20"/>
      <c r="AD9" s="17" t="s">
        <v>51</v>
      </c>
      <c r="AE9" s="17" t="s">
        <v>51</v>
      </c>
      <c r="AF9" s="17" t="s">
        <v>51</v>
      </c>
      <c r="AG9" s="17" t="s">
        <v>51</v>
      </c>
      <c r="AH9" s="21">
        <f>COUNTA(Décembre[[#This Row],[1]:[31]])</f>
        <v>5</v>
      </c>
    </row>
    <row r="10" spans="1:34" ht="30" customHeight="1" x14ac:dyDescent="0.25">
      <c r="B10" s="22" t="str">
        <f>NomMois&amp;" Total"</f>
        <v>Décembre Total</v>
      </c>
      <c r="C10" s="24">
        <f>SUBTOTAL(103,Décembre[1])</f>
        <v>0</v>
      </c>
      <c r="D10" s="24">
        <f>SUBTOTAL(103,Décembre[2])</f>
        <v>0</v>
      </c>
      <c r="E10" s="24">
        <f>SUBTOTAL(103,Décembre[3])</f>
        <v>0</v>
      </c>
      <c r="F10" s="24">
        <f>SUBTOTAL(103,Novembre[5])</f>
        <v>0</v>
      </c>
      <c r="G10" s="23">
        <f>SUBTOTAL(103,'2020-Janvier'!$E$7:$E$9)</f>
        <v>0</v>
      </c>
      <c r="H10" s="23">
        <f>SUBTOTAL(103,'2020-Janvier'!$E$7:$E$9)</f>
        <v>0</v>
      </c>
      <c r="I10" s="24">
        <f>SUBTOTAL(103,Décembre[7])</f>
        <v>0</v>
      </c>
      <c r="J10" s="24">
        <f>SUBTOTAL(103,Décembre[8])</f>
        <v>0</v>
      </c>
      <c r="K10" s="24">
        <f>SUBTOTAL(103,Décembre[9])</f>
        <v>0</v>
      </c>
      <c r="L10" s="24">
        <f>SUBTOTAL(103,Décembre[10])</f>
        <v>0</v>
      </c>
      <c r="M10" s="24">
        <f>SUBTOTAL(103,Novembre[5])</f>
        <v>0</v>
      </c>
      <c r="N10" s="23">
        <f>SUBTOTAL(103,'2020-Janvier'!$E$7:$E$9)</f>
        <v>0</v>
      </c>
      <c r="O10" s="23">
        <f>SUBTOTAL(103,'2020-Janvier'!$E$7:$E$9)</f>
        <v>0</v>
      </c>
      <c r="P10" s="24">
        <f>SUBTOTAL(103,Décembre[14])</f>
        <v>0</v>
      </c>
      <c r="Q10" s="24">
        <f>SUBTOTAL(103,Décembre[15])</f>
        <v>0</v>
      </c>
      <c r="R10" s="24">
        <f>SUBTOTAL(103,Décembre[16])</f>
        <v>0</v>
      </c>
      <c r="S10" s="24">
        <f>SUBTOTAL(103,Décembre[17])</f>
        <v>0</v>
      </c>
      <c r="T10" s="24">
        <f>SUBTOTAL(103,Novembre[5])</f>
        <v>0</v>
      </c>
      <c r="U10" s="23">
        <f>SUBTOTAL(103,'2020-Janvier'!$E$7:$E$9)</f>
        <v>0</v>
      </c>
      <c r="V10" s="23">
        <f>SUBTOTAL(103,'2020-Janvier'!$E$7:$E$9)</f>
        <v>0</v>
      </c>
      <c r="W10" s="24">
        <f>SUBTOTAL(103,Décembre[21])</f>
        <v>0</v>
      </c>
      <c r="X10" s="24">
        <f>SUBTOTAL(103,Décembre[22])</f>
        <v>0</v>
      </c>
      <c r="Y10" s="24">
        <f>SUBTOTAL(103,Décembre[23])</f>
        <v>0</v>
      </c>
      <c r="Z10" s="24">
        <f>SUBTOTAL(103,Décembre[23])</f>
        <v>0</v>
      </c>
      <c r="AA10" s="23">
        <f>SUBTOTAL(103,'2020-Janvier'!$D$7:$D$9)</f>
        <v>0</v>
      </c>
      <c r="AB10" s="23">
        <f>SUBTOTAL(103,'2020-Janvier'!$E$7:$E$9)</f>
        <v>0</v>
      </c>
      <c r="AC10" s="23">
        <f>SUBTOTAL(103,'2020-Janvier'!$E$7:$E$9)</f>
        <v>0</v>
      </c>
      <c r="AD10" s="24">
        <f>SUBTOTAL(103,Décembre[28])</f>
        <v>1</v>
      </c>
      <c r="AE10" s="24">
        <f>SUBTOTAL(103,Décembre[29])</f>
        <v>1</v>
      </c>
      <c r="AF10" s="24">
        <f>SUBTOTAL(103,Décembre[30])</f>
        <v>1</v>
      </c>
      <c r="AG10" s="24">
        <f>SUBTOTAL(103,Décembre[31])</f>
        <v>1</v>
      </c>
      <c r="AH10" s="24">
        <f>SUBTOTAL(109,Décembre[Total des jours])</f>
        <v>5</v>
      </c>
    </row>
    <row r="12" spans="1:34" ht="15" x14ac:dyDescent="0.25">
      <c r="AE12" s="29"/>
      <c r="AF12" s="30" t="s">
        <v>62</v>
      </c>
      <c r="AG12" s="32" t="str" cm="1">
        <f t="array" aca="1" ref="AG12" ca="1">LastAuthor()</f>
        <v>PFRIMMER Sabrina</v>
      </c>
      <c r="AH12" s="32"/>
    </row>
    <row r="13" spans="1:34" ht="15" x14ac:dyDescent="0.25">
      <c r="AE13" s="29"/>
      <c r="AF13" s="30" t="s">
        <v>63</v>
      </c>
      <c r="AG13" s="32" t="str" cm="1">
        <f t="array" aca="1" ref="AG13" ca="1">lastSaveTime()</f>
        <v>02/10/2020 12:14:07</v>
      </c>
      <c r="AH13" s="32"/>
    </row>
  </sheetData>
  <mergeCells count="6">
    <mergeCell ref="AG13:AH13"/>
    <mergeCell ref="C4:AG4"/>
    <mergeCell ref="E2:G2"/>
    <mergeCell ref="I2:K2"/>
    <mergeCell ref="M2:O2"/>
    <mergeCell ref="AG12:AH12"/>
  </mergeCells>
  <conditionalFormatting sqref="AH7:AH9">
    <cfRule type="dataBar" priority="255">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conditionalFormatting sqref="C7:E9 I7:L9 P7:S9 W7:Y9 AD7:AG9">
    <cfRule type="expression" priority="57" stopIfTrue="1">
      <formula>C7=""</formula>
    </cfRule>
    <cfRule type="cellIs" dxfId="115" priority="58" stopIfTrue="1" operator="equal">
      <formula>"A"</formula>
    </cfRule>
    <cfRule type="cellIs" dxfId="114" priority="59" stopIfTrue="1" operator="equal">
      <formula>"M"</formula>
    </cfRule>
    <cfRule type="cellIs" dxfId="113" priority="60" stopIfTrue="1" operator="equal">
      <formula>"J"</formula>
    </cfRule>
  </conditionalFormatting>
  <conditionalFormatting sqref="G7:G9">
    <cfRule type="expression" priority="53" stopIfTrue="1">
      <formula>G7=""</formula>
    </cfRule>
    <cfRule type="cellIs" dxfId="112" priority="54" stopIfTrue="1" operator="equal">
      <formula>"A"</formula>
    </cfRule>
    <cfRule type="cellIs" dxfId="111" priority="55" stopIfTrue="1" operator="equal">
      <formula>"M"</formula>
    </cfRule>
    <cfRule type="cellIs" dxfId="110" priority="56" stopIfTrue="1" operator="equal">
      <formula>"J"</formula>
    </cfRule>
  </conditionalFormatting>
  <conditionalFormatting sqref="F7:F9">
    <cfRule type="expression" priority="49" stopIfTrue="1">
      <formula>F7=""</formula>
    </cfRule>
    <cfRule type="cellIs" dxfId="109" priority="50" stopIfTrue="1" operator="equal">
      <formula>"A"</formula>
    </cfRule>
    <cfRule type="cellIs" dxfId="108" priority="51" stopIfTrue="1" operator="equal">
      <formula>"M"</formula>
    </cfRule>
    <cfRule type="cellIs" dxfId="107" priority="52" stopIfTrue="1" operator="equal">
      <formula>"J"</formula>
    </cfRule>
  </conditionalFormatting>
  <conditionalFormatting sqref="H7:H9">
    <cfRule type="expression" priority="45" stopIfTrue="1">
      <formula>H7=""</formula>
    </cfRule>
    <cfRule type="cellIs" dxfId="106" priority="46" stopIfTrue="1" operator="equal">
      <formula>"A"</formula>
    </cfRule>
    <cfRule type="cellIs" dxfId="105" priority="47" stopIfTrue="1" operator="equal">
      <formula>"M"</formula>
    </cfRule>
    <cfRule type="cellIs" dxfId="104" priority="48" stopIfTrue="1" operator="equal">
      <formula>"J"</formula>
    </cfRule>
  </conditionalFormatting>
  <conditionalFormatting sqref="N7:N9">
    <cfRule type="expression" priority="41" stopIfTrue="1">
      <formula>N7=""</formula>
    </cfRule>
    <cfRule type="cellIs" dxfId="103" priority="42" stopIfTrue="1" operator="equal">
      <formula>"A"</formula>
    </cfRule>
    <cfRule type="cellIs" dxfId="102" priority="43" stopIfTrue="1" operator="equal">
      <formula>"M"</formula>
    </cfRule>
    <cfRule type="cellIs" dxfId="101" priority="44" stopIfTrue="1" operator="equal">
      <formula>"J"</formula>
    </cfRule>
  </conditionalFormatting>
  <conditionalFormatting sqref="M7:M9">
    <cfRule type="expression" priority="37" stopIfTrue="1">
      <formula>M7=""</formula>
    </cfRule>
    <cfRule type="cellIs" dxfId="100" priority="38" stopIfTrue="1" operator="equal">
      <formula>"A"</formula>
    </cfRule>
    <cfRule type="cellIs" dxfId="99" priority="39" stopIfTrue="1" operator="equal">
      <formula>"M"</formula>
    </cfRule>
    <cfRule type="cellIs" dxfId="98" priority="40" stopIfTrue="1" operator="equal">
      <formula>"J"</formula>
    </cfRule>
  </conditionalFormatting>
  <conditionalFormatting sqref="O7:O9">
    <cfRule type="expression" priority="33" stopIfTrue="1">
      <formula>O7=""</formula>
    </cfRule>
    <cfRule type="cellIs" dxfId="97" priority="34" stopIfTrue="1" operator="equal">
      <formula>"A"</formula>
    </cfRule>
    <cfRule type="cellIs" dxfId="96" priority="35" stopIfTrue="1" operator="equal">
      <formula>"M"</formula>
    </cfRule>
    <cfRule type="cellIs" dxfId="95" priority="36" stopIfTrue="1" operator="equal">
      <formula>"J"</formula>
    </cfRule>
  </conditionalFormatting>
  <conditionalFormatting sqref="U7:U9">
    <cfRule type="expression" priority="29" stopIfTrue="1">
      <formula>U7=""</formula>
    </cfRule>
    <cfRule type="cellIs" dxfId="94" priority="30" stopIfTrue="1" operator="equal">
      <formula>"A"</formula>
    </cfRule>
    <cfRule type="cellIs" dxfId="93" priority="31" stopIfTrue="1" operator="equal">
      <formula>"M"</formula>
    </cfRule>
    <cfRule type="cellIs" dxfId="92" priority="32" stopIfTrue="1" operator="equal">
      <formula>"J"</formula>
    </cfRule>
  </conditionalFormatting>
  <conditionalFormatting sqref="T7:T9">
    <cfRule type="expression" priority="25" stopIfTrue="1">
      <formula>T7=""</formula>
    </cfRule>
    <cfRule type="cellIs" dxfId="91" priority="26" stopIfTrue="1" operator="equal">
      <formula>"A"</formula>
    </cfRule>
    <cfRule type="cellIs" dxfId="90" priority="27" stopIfTrue="1" operator="equal">
      <formula>"M"</formula>
    </cfRule>
    <cfRule type="cellIs" dxfId="89" priority="28" stopIfTrue="1" operator="equal">
      <formula>"J"</formula>
    </cfRule>
  </conditionalFormatting>
  <conditionalFormatting sqref="V7:V9">
    <cfRule type="expression" priority="21" stopIfTrue="1">
      <formula>V7=""</formula>
    </cfRule>
    <cfRule type="cellIs" dxfId="88" priority="22" stopIfTrue="1" operator="equal">
      <formula>"A"</formula>
    </cfRule>
    <cfRule type="cellIs" dxfId="87" priority="23" stopIfTrue="1" operator="equal">
      <formula>"M"</formula>
    </cfRule>
    <cfRule type="cellIs" dxfId="86" priority="24" stopIfTrue="1" operator="equal">
      <formula>"J"</formula>
    </cfRule>
  </conditionalFormatting>
  <conditionalFormatting sqref="AB7:AB9">
    <cfRule type="expression" priority="17" stopIfTrue="1">
      <formula>AB7=""</formula>
    </cfRule>
    <cfRule type="cellIs" dxfId="85" priority="18" stopIfTrue="1" operator="equal">
      <formula>"A"</formula>
    </cfRule>
    <cfRule type="cellIs" dxfId="84" priority="19" stopIfTrue="1" operator="equal">
      <formula>"M"</formula>
    </cfRule>
    <cfRule type="cellIs" dxfId="83" priority="20" stopIfTrue="1" operator="equal">
      <formula>"J"</formula>
    </cfRule>
  </conditionalFormatting>
  <conditionalFormatting sqref="AC7:AC9">
    <cfRule type="expression" priority="9" stopIfTrue="1">
      <formula>AC7=""</formula>
    </cfRule>
    <cfRule type="cellIs" dxfId="82" priority="10" stopIfTrue="1" operator="equal">
      <formula>"A"</formula>
    </cfRule>
    <cfRule type="cellIs" dxfId="81" priority="11" stopIfTrue="1" operator="equal">
      <formula>"M"</formula>
    </cfRule>
    <cfRule type="cellIs" dxfId="80" priority="12" stopIfTrue="1" operator="equal">
      <formula>"J"</formula>
    </cfRule>
  </conditionalFormatting>
  <conditionalFormatting sqref="AA7:AA9">
    <cfRule type="expression" priority="5" stopIfTrue="1">
      <formula>AA7=""</formula>
    </cfRule>
    <cfRule type="cellIs" dxfId="79" priority="6" stopIfTrue="1" operator="equal">
      <formula>"A"</formula>
    </cfRule>
    <cfRule type="cellIs" dxfId="78" priority="7" stopIfTrue="1" operator="equal">
      <formula>"M"</formula>
    </cfRule>
    <cfRule type="cellIs" dxfId="77" priority="8" stopIfTrue="1" operator="equal">
      <formula>"J"</formula>
    </cfRule>
  </conditionalFormatting>
  <conditionalFormatting sqref="Z7:Z9">
    <cfRule type="expression" priority="1" stopIfTrue="1">
      <formula>Z7=""</formula>
    </cfRule>
    <cfRule type="cellIs" dxfId="76" priority="2" stopIfTrue="1" operator="equal">
      <formula>"A"</formula>
    </cfRule>
    <cfRule type="cellIs" dxfId="75" priority="3" stopIfTrue="1" operator="equal">
      <formula>"M"</formula>
    </cfRule>
    <cfRule type="cellIs" dxfId="74" priority="4" stopIfTrue="1" operator="equal">
      <formula>"J"</formula>
    </cfRule>
  </conditionalFormatting>
  <dataValidations count="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 allowBlank="1" showErrorMessage="1" sqref="AH3 A1:B1 L2 H2 D2 B2" xr:uid="{A3F445B5-B8EB-4122-9562-49A8FE98964E}"/>
  </dataValidations>
  <pageMargins left="0.7" right="0.7" top="0.75" bottom="0.75" header="0.3" footer="0.3"/>
  <pageSetup paperSize="9" fitToHeight="0" orientation="portrait" verticalDpi="4294967293" r:id="rId1"/>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AH7:AH9</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employés'!$B$4:$B$6</xm:f>
          </x14:formula1>
          <xm:sqref>B7:B9</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tabColor theme="1"/>
  </sheetPr>
  <dimension ref="B1:B6"/>
  <sheetViews>
    <sheetView showGridLines="0" workbookViewId="0">
      <selection activeCell="H3" sqref="H3"/>
    </sheetView>
  </sheetViews>
  <sheetFormatPr baseColWidth="10" defaultColWidth="9.140625" defaultRowHeight="30" customHeight="1" x14ac:dyDescent="0.25"/>
  <cols>
    <col min="1" max="1" width="2.7109375" style="12" customWidth="1"/>
    <col min="2" max="2" width="30.7109375" style="12" customWidth="1"/>
    <col min="3" max="3" width="2.7109375" style="12" customWidth="1"/>
    <col min="4" max="16384" width="9.140625" style="12"/>
  </cols>
  <sheetData>
    <row r="1" spans="2:2" ht="50.1" customHeight="1" x14ac:dyDescent="0.25">
      <c r="B1" s="25" t="s">
        <v>50</v>
      </c>
    </row>
    <row r="2" spans="2:2" ht="15" customHeight="1" x14ac:dyDescent="0.25"/>
    <row r="3" spans="2:2" ht="30" customHeight="1" x14ac:dyDescent="0.25">
      <c r="B3" s="12" t="s">
        <v>57</v>
      </c>
    </row>
    <row r="4" spans="2:2" ht="30" customHeight="1" x14ac:dyDescent="0.25">
      <c r="B4" s="26" t="s">
        <v>58</v>
      </c>
    </row>
    <row r="5" spans="2:2" ht="30" customHeight="1" x14ac:dyDescent="0.25">
      <c r="B5" s="26" t="s">
        <v>59</v>
      </c>
    </row>
    <row r="6" spans="2:2" ht="30" customHeight="1" x14ac:dyDescent="0.25">
      <c r="B6" s="26" t="s">
        <v>60</v>
      </c>
    </row>
  </sheetData>
  <dataValidations count="1">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s>
  <pageMargins left="0.7" right="0.7" top="0.75" bottom="0.75" header="0.3" footer="0.3"/>
  <pageSetup paperSize="9" orientation="portrait" horizontalDpi="200" verticalDpi="200" r:id="rId1"/>
  <tableParts count="1">
    <tablePart r:id="rId2"/>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485528-9541-4564-A045-53FC750C5F44}">
  <sheetPr codeName="Feuil14"/>
  <dimension ref="A1:B19"/>
  <sheetViews>
    <sheetView workbookViewId="0">
      <selection activeCell="A2" sqref="A2"/>
    </sheetView>
  </sheetViews>
  <sheetFormatPr baseColWidth="10" defaultRowHeight="15" x14ac:dyDescent="0.25"/>
  <cols>
    <col min="1" max="1" width="27.85546875" style="12" customWidth="1"/>
    <col min="2" max="2" width="30.28515625" style="12" customWidth="1"/>
    <col min="3" max="16384" width="11.42578125" style="12"/>
  </cols>
  <sheetData>
    <row r="1" spans="1:2" x14ac:dyDescent="0.25">
      <c r="A1" s="12" t="s">
        <v>64</v>
      </c>
      <c r="B1" s="12" t="s">
        <v>65</v>
      </c>
    </row>
    <row r="2" spans="1:2" x14ac:dyDescent="0.25">
      <c r="A2" s="12" t="s">
        <v>66</v>
      </c>
      <c r="B2" s="31">
        <v>44105.493946759256</v>
      </c>
    </row>
    <row r="3" spans="1:2" x14ac:dyDescent="0.25">
      <c r="A3" s="12" t="s">
        <v>66</v>
      </c>
      <c r="B3" s="31">
        <v>44105.547939814816</v>
      </c>
    </row>
    <row r="4" spans="1:2" x14ac:dyDescent="0.25">
      <c r="A4" s="12" t="s">
        <v>66</v>
      </c>
      <c r="B4" s="31">
        <v>44105.550416666665</v>
      </c>
    </row>
    <row r="5" spans="1:2" x14ac:dyDescent="0.25">
      <c r="A5" s="12" t="s">
        <v>66</v>
      </c>
      <c r="B5" s="31">
        <v>44105.561562499999</v>
      </c>
    </row>
    <row r="6" spans="1:2" x14ac:dyDescent="0.25">
      <c r="A6" s="12" t="s">
        <v>66</v>
      </c>
      <c r="B6" s="31">
        <v>44105.568506944444</v>
      </c>
    </row>
    <row r="7" spans="1:2" x14ac:dyDescent="0.25">
      <c r="A7" s="12" t="s">
        <v>66</v>
      </c>
      <c r="B7" s="31">
        <v>44105.584687499999</v>
      </c>
    </row>
    <row r="8" spans="1:2" x14ac:dyDescent="0.25">
      <c r="A8" s="12" t="s">
        <v>66</v>
      </c>
      <c r="B8" s="31">
        <v>44105.585370370369</v>
      </c>
    </row>
    <row r="9" spans="1:2" x14ac:dyDescent="0.25">
      <c r="A9" s="12" t="s">
        <v>66</v>
      </c>
      <c r="B9" s="31">
        <v>44105.587361111109</v>
      </c>
    </row>
    <row r="10" spans="1:2" x14ac:dyDescent="0.25">
      <c r="A10" s="12" t="s">
        <v>66</v>
      </c>
      <c r="B10" s="31">
        <v>44105.595706018517</v>
      </c>
    </row>
    <row r="11" spans="1:2" x14ac:dyDescent="0.25">
      <c r="A11" s="12" t="s">
        <v>66</v>
      </c>
      <c r="B11" s="31">
        <v>44105.599305555559</v>
      </c>
    </row>
    <row r="12" spans="1:2" x14ac:dyDescent="0.25">
      <c r="A12" s="12" t="s">
        <v>66</v>
      </c>
      <c r="B12" s="31">
        <v>44105.605254629627</v>
      </c>
    </row>
    <row r="13" spans="1:2" x14ac:dyDescent="0.25">
      <c r="A13" s="12" t="s">
        <v>66</v>
      </c>
      <c r="B13" s="31">
        <v>44106.377685185187</v>
      </c>
    </row>
    <row r="14" spans="1:2" x14ac:dyDescent="0.25">
      <c r="A14" s="12" t="s">
        <v>66</v>
      </c>
      <c r="B14" s="31">
        <v>44106.449502314812</v>
      </c>
    </row>
    <row r="15" spans="1:2" x14ac:dyDescent="0.25">
      <c r="A15" s="12" t="s">
        <v>68</v>
      </c>
      <c r="B15" s="31">
        <v>44106.489386574074</v>
      </c>
    </row>
    <row r="16" spans="1:2" x14ac:dyDescent="0.25">
      <c r="A16" s="12" t="s">
        <v>68</v>
      </c>
      <c r="B16" s="31">
        <v>44106.490740740737</v>
      </c>
    </row>
    <row r="17" spans="1:2" x14ac:dyDescent="0.25">
      <c r="A17" s="12" t="s">
        <v>66</v>
      </c>
      <c r="B17" s="31">
        <v>44106.491840277777</v>
      </c>
    </row>
    <row r="18" spans="1:2" x14ac:dyDescent="0.25">
      <c r="A18" s="12" t="s">
        <v>66</v>
      </c>
      <c r="B18" s="31">
        <v>44106.509386574071</v>
      </c>
    </row>
    <row r="19" spans="1:2" x14ac:dyDescent="0.25">
      <c r="A19" s="12" t="s">
        <v>66</v>
      </c>
      <c r="B19" s="31">
        <v>44107.475370370368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47</vt:i4>
      </vt:variant>
    </vt:vector>
  </HeadingPairs>
  <TitlesOfParts>
    <vt:vector size="61" baseType="lpstr">
      <vt:lpstr>2020-Janvier</vt:lpstr>
      <vt:lpstr>2020-Février</vt:lpstr>
      <vt:lpstr>2020-Mars</vt:lpstr>
      <vt:lpstr>2020-Avril</vt:lpstr>
      <vt:lpstr>2020-Mai</vt:lpstr>
      <vt:lpstr>2020-Juin</vt:lpstr>
      <vt:lpstr>2020-Juillet</vt:lpstr>
      <vt:lpstr>2020-Août</vt:lpstr>
      <vt:lpstr>2020-Septembre</vt:lpstr>
      <vt:lpstr>2020-Octobre</vt:lpstr>
      <vt:lpstr>2020-Novembre</vt:lpstr>
      <vt:lpstr>2020-Décembre</vt:lpstr>
      <vt:lpstr>Noms des employés</vt:lpstr>
      <vt:lpstr>Log</vt:lpstr>
      <vt:lpstr>AnnéeCalendrier</vt:lpstr>
      <vt:lpstr>CléCongé</vt:lpstr>
      <vt:lpstr>CléMaladie</vt:lpstr>
      <vt:lpstr>CléPersonnalisée1</vt:lpstr>
      <vt:lpstr>CléPersonnel</vt:lpstr>
      <vt:lpstr>ÉtiquetteCléCongé</vt:lpstr>
      <vt:lpstr>ÉtiquetteCléMaladie</vt:lpstr>
      <vt:lpstr>ÉtiquetteCléPersonnel</vt:lpstr>
      <vt:lpstr>'2020-Août'!Impression_des_titres</vt:lpstr>
      <vt:lpstr>'2020-Avril'!Impression_des_titres</vt:lpstr>
      <vt:lpstr>'2020-Décembre'!Impression_des_titres</vt:lpstr>
      <vt:lpstr>'2020-Février'!Impression_des_titres</vt:lpstr>
      <vt:lpstr>'2020-Janvier'!Impression_des_titres</vt:lpstr>
      <vt:lpstr>'2020-Juillet'!Impression_des_titres</vt:lpstr>
      <vt:lpstr>'2020-Juin'!Impression_des_titres</vt:lpstr>
      <vt:lpstr>'2020-Mai'!Impression_des_titres</vt:lpstr>
      <vt:lpstr>'2020-Mars'!Impression_des_titres</vt:lpstr>
      <vt:lpstr>'2020-Novembre'!Impression_des_titres</vt:lpstr>
      <vt:lpstr>'2020-Octobre'!Impression_des_titres</vt:lpstr>
      <vt:lpstr>'2020-Septembre'!Impression_des_titres</vt:lpstr>
      <vt:lpstr>Nom_clé</vt:lpstr>
      <vt:lpstr>'2020-Août'!NomMois</vt:lpstr>
      <vt:lpstr>'2020-Avril'!NomMois</vt:lpstr>
      <vt:lpstr>'2020-Décembre'!NomMois</vt:lpstr>
      <vt:lpstr>'2020-Février'!NomMois</vt:lpstr>
      <vt:lpstr>'2020-Janvier'!NomMois</vt:lpstr>
      <vt:lpstr>'2020-Juillet'!NomMois</vt:lpstr>
      <vt:lpstr>'2020-Juin'!NomMois</vt:lpstr>
      <vt:lpstr>'2020-Mai'!NomMois</vt:lpstr>
      <vt:lpstr>'2020-Mars'!NomMois</vt:lpstr>
      <vt:lpstr>'2020-Novembre'!NomMois</vt:lpstr>
      <vt:lpstr>'2020-Octobre'!NomMois</vt:lpstr>
      <vt:lpstr>'2020-Septembre'!NomMois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PFRIMMER Sabrina</dc:creator>
  <cp:lastModifiedBy>PFRIMMER Sabrina</cp:lastModifiedBy>
  <dcterms:created xsi:type="dcterms:W3CDTF">2016-12-06T04:52:27Z</dcterms:created>
  <dcterms:modified xsi:type="dcterms:W3CDTF">2020-10-03T09:46:48Z</dcterms:modified>
</cp:coreProperties>
</file>