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Willi\Desktop\"/>
    </mc:Choice>
  </mc:AlternateContent>
  <bookViews>
    <workbookView xWindow="0" yWindow="0" windowWidth="21570" windowHeight="8055"/>
  </bookViews>
  <sheets>
    <sheet name="Home" sheetId="2" r:id="rId1"/>
    <sheet name="Pneus" sheetId="1" r:id="rId2"/>
    <sheet name="Pièces" sheetId="4" r:id="rId3"/>
    <sheet name="Entrée - Sortie" sheetId="3" r:id="rId4"/>
    <sheet name="Config" sheetId="5" r:id="rId5"/>
  </sheets>
  <definedNames>
    <definedName name="_xlnm._FilterDatabase" localSheetId="1" hidden="1">Pneus!$B$5:$AD$11</definedName>
    <definedName name="marge">Tableau4[marge benefice]</definedName>
    <definedName name="refarticle">Tableau1[[#All],[Ref Pneu]]</definedName>
    <definedName name="refpiece">Tableau2[Réf Article]</definedName>
    <definedName name="refpneu">Tableau1[Ref Pneu]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0" i="2" l="1"/>
  <c r="K16" i="3"/>
  <c r="K15" i="3"/>
  <c r="K14" i="3"/>
  <c r="I17" i="2"/>
  <c r="D17" i="2"/>
  <c r="E11" i="5"/>
  <c r="I6" i="2" s="1"/>
  <c r="E19" i="5"/>
  <c r="E9" i="5"/>
  <c r="E17" i="5"/>
  <c r="K13" i="3"/>
  <c r="K12" i="3"/>
  <c r="K11" i="3"/>
  <c r="K10" i="3"/>
  <c r="K9" i="3"/>
  <c r="K8" i="3"/>
  <c r="K7" i="3"/>
  <c r="K6" i="3"/>
  <c r="G8" i="4"/>
  <c r="H8" i="4" s="1"/>
  <c r="F6" i="4"/>
  <c r="F7" i="4"/>
  <c r="F8" i="4"/>
  <c r="F9" i="4"/>
  <c r="F10" i="4"/>
  <c r="M6" i="1"/>
  <c r="M7" i="1"/>
  <c r="M8" i="1"/>
  <c r="M9" i="1"/>
  <c r="M10" i="1"/>
  <c r="M11" i="1"/>
  <c r="N10" i="1"/>
  <c r="O10" i="1" s="1"/>
  <c r="G6" i="4"/>
  <c r="H6" i="4" s="1"/>
  <c r="G7" i="4"/>
  <c r="H7" i="4" s="1"/>
  <c r="G9" i="4"/>
  <c r="H9" i="4" s="1"/>
  <c r="G10" i="4"/>
  <c r="H10" i="4" s="1"/>
  <c r="N6" i="1"/>
  <c r="O6" i="1" s="1"/>
  <c r="N7" i="1"/>
  <c r="O7" i="1" s="1"/>
  <c r="N8" i="1"/>
  <c r="O8" i="1" s="1"/>
  <c r="N9" i="1"/>
  <c r="O9" i="1" s="1"/>
  <c r="N11" i="1"/>
  <c r="O11" i="1" s="1"/>
  <c r="G21" i="5" l="1"/>
  <c r="E20" i="5"/>
  <c r="N17" i="2" s="1"/>
  <c r="E21" i="5"/>
  <c r="F21" i="5"/>
  <c r="D29" i="2" s="1"/>
  <c r="E13" i="5"/>
  <c r="D28" i="2" s="1"/>
  <c r="H13" i="5"/>
  <c r="F13" i="5"/>
  <c r="G13" i="5"/>
  <c r="D6" i="2"/>
  <c r="E12" i="5"/>
  <c r="N6" i="2" s="1"/>
  <c r="J10" i="4"/>
  <c r="J9" i="4" l="1"/>
  <c r="J8" i="4" l="1"/>
  <c r="J7" i="4" l="1"/>
  <c r="J6" i="4" l="1"/>
  <c r="Q7" i="1"/>
  <c r="Q10" i="1" l="1"/>
  <c r="Q11" i="1"/>
  <c r="Q6" i="1" l="1"/>
  <c r="Q9" i="1"/>
  <c r="Q8" i="1"/>
</calcChain>
</file>

<file path=xl/sharedStrings.xml><?xml version="1.0" encoding="utf-8"?>
<sst xmlns="http://schemas.openxmlformats.org/spreadsheetml/2006/main" count="269" uniqueCount="140">
  <si>
    <t>Marque</t>
  </si>
  <si>
    <t>Modèle</t>
  </si>
  <si>
    <t>Runflat</t>
  </si>
  <si>
    <t>Saison</t>
  </si>
  <si>
    <t>Stock</t>
  </si>
  <si>
    <t>Stock Min</t>
  </si>
  <si>
    <t>Flag</t>
  </si>
  <si>
    <t>&gt;10</t>
  </si>
  <si>
    <t>Valeur stock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</si>
  <si>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</si>
  <si>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</si>
  <si>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</si>
  <si>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</si>
  <si>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</si>
  <si>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</si>
  <si>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</si>
  <si>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</si>
  <si>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</si>
  <si>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</si>
  <si>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Colonne1</t>
  </si>
  <si>
    <t>Status</t>
  </si>
  <si>
    <t>Active</t>
  </si>
  <si>
    <t>pirelli</t>
  </si>
  <si>
    <t>p07</t>
  </si>
  <si>
    <t>205</t>
  </si>
  <si>
    <t>16</t>
  </si>
  <si>
    <t>v</t>
  </si>
  <si>
    <t>102</t>
  </si>
  <si>
    <t>ete</t>
  </si>
  <si>
    <t>non</t>
  </si>
  <si>
    <t>pirp00</t>
  </si>
  <si>
    <t>P0</t>
  </si>
  <si>
    <t>215</t>
  </si>
  <si>
    <t>55</t>
  </si>
  <si>
    <t>w</t>
  </si>
  <si>
    <t>105</t>
  </si>
  <si>
    <t>r</t>
  </si>
  <si>
    <t>michelin</t>
  </si>
  <si>
    <t>winterx</t>
  </si>
  <si>
    <t>265</t>
  </si>
  <si>
    <t>19</t>
  </si>
  <si>
    <t>20</t>
  </si>
  <si>
    <t>hiver</t>
  </si>
  <si>
    <t>Date</t>
  </si>
  <si>
    <t>Type</t>
  </si>
  <si>
    <t>Numéro Facture</t>
  </si>
  <si>
    <t xml:space="preserve">Référence article </t>
  </si>
  <si>
    <t>Nombre</t>
  </si>
  <si>
    <t>Ranking</t>
  </si>
  <si>
    <t>conti564</t>
  </si>
  <si>
    <t>continetal</t>
  </si>
  <si>
    <t>primo</t>
  </si>
  <si>
    <t>195</t>
  </si>
  <si>
    <t>15</t>
  </si>
  <si>
    <t/>
  </si>
  <si>
    <t>all</t>
  </si>
  <si>
    <t>gre</t>
  </si>
  <si>
    <t>propooo</t>
  </si>
  <si>
    <t>255</t>
  </si>
  <si>
    <t>30</t>
  </si>
  <si>
    <t>g</t>
  </si>
  <si>
    <t>25</t>
  </si>
  <si>
    <t>oui</t>
  </si>
  <si>
    <t>conti</t>
  </si>
  <si>
    <t>wxv</t>
  </si>
  <si>
    <t>14</t>
  </si>
  <si>
    <t>12</t>
  </si>
  <si>
    <t>Réf Article</t>
  </si>
  <si>
    <t>Nom</t>
  </si>
  <si>
    <t>Description</t>
  </si>
  <si>
    <t>Stock min.</t>
  </si>
  <si>
    <t>vide</t>
  </si>
  <si>
    <t>123</t>
  </si>
  <si>
    <t>nom11</t>
  </si>
  <si>
    <t xml:space="preserve">desc111		</t>
  </si>
  <si>
    <t>test3</t>
  </si>
  <si>
    <t xml:space="preserve">foidjfiosfjio		</t>
  </si>
  <si>
    <t>Ind.Vit.</t>
  </si>
  <si>
    <t>Ind.Char.</t>
  </si>
  <si>
    <t>diam</t>
  </si>
  <si>
    <t>Prix Vente</t>
  </si>
  <si>
    <t>Prix Achat</t>
  </si>
  <si>
    <t>5555</t>
  </si>
  <si>
    <t>pot echapp</t>
  </si>
  <si>
    <t xml:space="preserve">echapp VW		</t>
  </si>
  <si>
    <t>Marque / Nom</t>
  </si>
  <si>
    <t>Modèle / Description</t>
  </si>
  <si>
    <t>Prix Total</t>
  </si>
  <si>
    <t>15/10/2018</t>
  </si>
  <si>
    <t>414</t>
  </si>
  <si>
    <t>254254</t>
  </si>
  <si>
    <t>25454</t>
  </si>
  <si>
    <t>2542425</t>
  </si>
  <si>
    <t>11144114</t>
  </si>
  <si>
    <t>55245254</t>
  </si>
  <si>
    <t>4525454</t>
  </si>
  <si>
    <t>4755</t>
  </si>
  <si>
    <t>5225</t>
  </si>
  <si>
    <t>452254</t>
  </si>
  <si>
    <t>16/10/2018</t>
  </si>
  <si>
    <t>Sortie</t>
  </si>
  <si>
    <t>11111</t>
  </si>
  <si>
    <t>Entrée</t>
  </si>
  <si>
    <t>111</t>
  </si>
  <si>
    <t>Ref Pneu</t>
  </si>
  <si>
    <t>32132</t>
  </si>
  <si>
    <t>Label12</t>
  </si>
  <si>
    <t>16516</t>
  </si>
  <si>
    <t>borrt</t>
  </si>
  <si>
    <t xml:space="preserve">eoifjzoizfjizofjzoif		</t>
  </si>
  <si>
    <t>Colonne2</t>
  </si>
  <si>
    <t>Colonne3</t>
  </si>
  <si>
    <t>marge benefice</t>
  </si>
  <si>
    <t>Larg.</t>
  </si>
  <si>
    <t>Haut.</t>
  </si>
  <si>
    <t>Tableau de Bord</t>
  </si>
  <si>
    <t>widget1</t>
  </si>
  <si>
    <t>widget2</t>
  </si>
  <si>
    <t>widget3</t>
  </si>
  <si>
    <t>widget4</t>
  </si>
  <si>
    <t>widget5</t>
  </si>
  <si>
    <t>article critique</t>
  </si>
  <si>
    <t>volume du stock</t>
  </si>
  <si>
    <t>valeur stock Pneu</t>
  </si>
  <si>
    <t>nombre de pneus en stock</t>
  </si>
  <si>
    <t>TOP3 Pneu</t>
  </si>
  <si>
    <t>Tableau de bord AG Pneu</t>
  </si>
  <si>
    <t>Valeur du Stock Pneus</t>
  </si>
  <si>
    <t>Volume de Pneus en stock</t>
  </si>
  <si>
    <t>Valeur du Stock Pièces</t>
  </si>
  <si>
    <t>Nombre de références Pièces</t>
  </si>
  <si>
    <t>Nombre de Références Pneus</t>
  </si>
  <si>
    <t>Volume de Pièces en stock</t>
  </si>
  <si>
    <t>Pièces</t>
  </si>
  <si>
    <t>Pneus</t>
  </si>
  <si>
    <t>valeur stock Pièces</t>
  </si>
  <si>
    <t>nombre de pièce en stock</t>
  </si>
  <si>
    <t>volume du stock pièces</t>
  </si>
  <si>
    <t>555contiiii</t>
  </si>
  <si>
    <t>Meilleur ventes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</si>
</sst>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9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&quot;€&quot;#,##0.00_);\(&quot;€&quot;#,##0.00\)"/>
    <numFmt numFmtId="165" formatCode="&quot;Besoin&quot;"/>
    <numFmt numFmtId="166" formatCode="&quot;&quot;"/>
    <numFmt numFmtId="167" formatCode="&quot; &quot;"/>
    <numFmt numFmtId="168" formatCode="#,##0.00\ &quot;€&quot;"/>
    <numFmt numFmtId="170" formatCode="#,##0_ ;\-#,##0\ "/>
    <numFmt numFmtId="171" formatCode="dd/mm/yy;@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  <font>
      <sz val="11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2"/>
      <color theme="1"/>
      <name val="Verdana"/>
      <family val="2"/>
    </font>
    <font>
      <sz val="26"/>
      <color theme="0"/>
      <name val="Arial Black"/>
      <family val="2"/>
    </font>
    <font>
      <sz val="36"/>
      <color theme="0"/>
      <name val="Arial Rounded MT Bold"/>
      <family val="2"/>
    </font>
    <font>
      <sz val="16"/>
      <color theme="0"/>
      <name val="Arial Rounded MT Bold"/>
      <family val="2"/>
    </font>
    <font>
      <sz val="16"/>
      <color theme="1" tint="4.9989318521683403E-2"/>
      <name val="Arial Black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8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</cellStyleXfs>
  <cellXfs count="46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NumberFormat="1"/>
    <xf numFmtId="165" fontId="0" fillId="0" borderId="0" xfId="0" applyNumberFormat="1"/>
    <xf numFmtId="0" fontId="2" fillId="0" borderId="0" xfId="0" applyFont="1" applyAlignment="1">
      <alignment horizontal="center" vertical="center"/>
    </xf>
    <xf numFmtId="164" fontId="0" fillId="0" borderId="0" xfId="0" applyNumberFormat="1"/>
    <xf numFmtId="2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2" fontId="1" fillId="0" borderId="0" xfId="0" applyNumberFormat="1" applyFont="1" applyAlignment="1">
      <alignment horizontal="left" vertical="center"/>
    </xf>
    <xf numFmtId="166" fontId="0" fillId="0" borderId="0" xfId="0" applyNumberFormat="1"/>
    <xf numFmtId="0" fontId="0" fillId="0" borderId="0" xfId="0" applyNumberFormat="1" applyAlignment="1">
      <alignment horizontal="left"/>
    </xf>
    <xf numFmtId="0" fontId="0" fillId="2" borderId="0" xfId="0" applyFill="1"/>
    <xf numFmtId="167" fontId="0" fillId="0" borderId="0" xfId="0" applyNumberFormat="1"/>
    <xf numFmtId="0" fontId="0" fillId="0" borderId="0" xfId="0" applyNumberFormat="1" applyAlignment="1">
      <alignment horizontal="left" vertical="center"/>
    </xf>
    <xf numFmtId="168" fontId="0" fillId="0" borderId="0" xfId="0" applyNumberFormat="1"/>
    <xf numFmtId="0" fontId="0" fillId="0" borderId="0" xfId="0" applyFill="1"/>
    <xf numFmtId="0" fontId="4" fillId="0" borderId="0" xfId="0" applyFont="1" applyFill="1" applyAlignment="1">
      <alignment vertical="center"/>
    </xf>
    <xf numFmtId="168" fontId="1" fillId="0" borderId="0" xfId="0" applyNumberFormat="1" applyFont="1" applyAlignment="1">
      <alignment horizontal="left" vertical="center"/>
    </xf>
    <xf numFmtId="0" fontId="0" fillId="4" borderId="0" xfId="0" applyFill="1"/>
    <xf numFmtId="0" fontId="7" fillId="4" borderId="0" xfId="0" applyFont="1" applyFill="1"/>
    <xf numFmtId="0" fontId="0" fillId="4" borderId="1" xfId="0" applyFill="1" applyBorder="1"/>
    <xf numFmtId="0" fontId="0" fillId="4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44" fontId="0" fillId="0" borderId="0" xfId="2" applyFont="1"/>
    <xf numFmtId="0" fontId="0" fillId="0" borderId="0" xfId="0" applyNumberFormat="1" applyAlignment="1">
      <alignment horizontal="center"/>
    </xf>
    <xf numFmtId="0" fontId="6" fillId="6" borderId="0" xfId="0" applyFont="1" applyFill="1"/>
    <xf numFmtId="0" fontId="10" fillId="6" borderId="0" xfId="0" applyFont="1" applyFill="1" applyAlignment="1">
      <alignment horizontal="left" vertical="center"/>
    </xf>
    <xf numFmtId="44" fontId="9" fillId="3" borderId="0" xfId="0" applyNumberFormat="1" applyFont="1" applyFill="1" applyAlignment="1">
      <alignment horizontal="center" vertical="center" wrapText="1"/>
    </xf>
    <xf numFmtId="1" fontId="9" fillId="3" borderId="0" xfId="1" applyNumberFormat="1" applyFont="1" applyFill="1" applyAlignment="1">
      <alignment horizontal="right" vertical="center" wrapText="1"/>
    </xf>
    <xf numFmtId="170" fontId="9" fillId="3" borderId="0" xfId="0" applyNumberFormat="1" applyFont="1" applyFill="1" applyAlignment="1">
      <alignment horizontal="right" vertical="center" wrapText="1"/>
    </xf>
    <xf numFmtId="44" fontId="9" fillId="5" borderId="0" xfId="0" applyNumberFormat="1" applyFont="1" applyFill="1" applyAlignment="1">
      <alignment horizontal="center" vertical="center" wrapText="1"/>
    </xf>
    <xf numFmtId="0" fontId="6" fillId="7" borderId="0" xfId="0" applyFont="1" applyFill="1"/>
    <xf numFmtId="0" fontId="10" fillId="7" borderId="0" xfId="0" applyFont="1" applyFill="1" applyAlignment="1">
      <alignment horizontal="left" vertical="center"/>
    </xf>
    <xf numFmtId="1" fontId="0" fillId="0" borderId="0" xfId="0" applyNumberFormat="1"/>
    <xf numFmtId="171" fontId="0" fillId="0" borderId="0" xfId="0" applyNumberFormat="1" applyAlignment="1">
      <alignment horizontal="center"/>
    </xf>
    <xf numFmtId="170" fontId="9" fillId="5" borderId="0" xfId="0" applyNumberFormat="1" applyFont="1" applyFill="1" applyAlignment="1">
      <alignment horizontal="right" vertical="center" wrapText="1"/>
    </xf>
    <xf numFmtId="0" fontId="8" fillId="0" borderId="0" xfId="0" applyFont="1" applyFill="1" applyAlignment="1">
      <alignment horizontal="center" vertical="center"/>
    </xf>
    <xf numFmtId="0" fontId="11" fillId="4" borderId="0" xfId="0" applyFont="1" applyFill="1" applyAlignment="1">
      <alignment horizontal="center"/>
    </xf>
    <xf numFmtId="0" fontId="11" fillId="2" borderId="0" xfId="0" applyFont="1" applyFill="1" applyAlignment="1">
      <alignment horizontal="center"/>
    </xf>
    <xf numFmtId="0" fontId="8" fillId="0" borderId="0" xfId="0" applyFont="1" applyFill="1" applyBorder="1" applyAlignment="1">
      <alignment horizontal="center" vertical="center"/>
    </xf>
    <xf numFmtId="0" fontId="8" fillId="8" borderId="2" xfId="0" applyFont="1" applyFill="1" applyBorder="1" applyAlignment="1">
      <alignment horizontal="center" vertical="center"/>
    </xf>
    <xf numFmtId="0" fontId="8" fillId="8" borderId="3" xfId="0" applyFont="1" applyFill="1" applyBorder="1" applyAlignment="1">
      <alignment horizontal="center" vertical="center"/>
    </xf>
    <xf numFmtId="0" fontId="8" fillId="8" borderId="4" xfId="0" applyFont="1" applyFill="1" applyBorder="1" applyAlignment="1">
      <alignment horizontal="center" vertical="center"/>
    </xf>
  </cellXfs>
  <cellStyles count="3">
    <cellStyle name="Milliers" xfId="1" builtinId="3"/>
    <cellStyle name="Monétaire" xfId="2" builtinId="4"/>
    <cellStyle name="Normal" xfId="0" builtinId="0"/>
  </cellStyles>
  <dxfs count="52"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theme="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1"/>
        </patternFill>
      </fill>
    </dxf>
    <dxf>
      <fill>
        <patternFill>
          <bgColor theme="4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71" formatCode="dd/mm/yy;@"/>
      <alignment horizontal="center" vertical="bottom" textRotation="0" wrapText="0" indent="0" justifyLastLine="0" shrinkToFit="0" readingOrder="0"/>
    </dxf>
    <dxf>
      <numFmt numFmtId="1" formatCode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68" formatCode="#,##0.00\ &quot;€&quot;"/>
    </dxf>
    <dxf>
      <numFmt numFmtId="164" formatCode="&quot;€&quot;#,##0.00_);\(&quot;€&quot;#,##0.00\)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168" formatCode="#,##0.00\ &quot;€&quot;"/>
    </dxf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5" formatCode="&quot;Besoin&quot;"/>
    </dxf>
    <dxf>
      <numFmt numFmtId="167" formatCode="&quot; &quot;"/>
    </dxf>
    <dxf>
      <alignment horizontal="center" vertical="center" textRotation="0" wrapText="0" indent="0" justifyLastLine="0" shrinkToFit="0" readingOrder="0"/>
    </dxf>
    <dxf>
      <numFmt numFmtId="165" formatCode="&quot;Besoin&quot;"/>
    </dxf>
    <dxf>
      <numFmt numFmtId="166" formatCode="&quot;&quot;"/>
    </dxf>
    <dxf>
      <numFmt numFmtId="2" formatCode="0.00"/>
    </dxf>
    <dxf>
      <numFmt numFmtId="0" formatCode="General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7.emf"/><Relationship Id="rId1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38101</xdr:colOff>
      <xdr:row>5</xdr:row>
      <xdr:rowOff>38099</xdr:rowOff>
    </xdr:from>
    <xdr:to>
      <xdr:col>3</xdr:col>
      <xdr:colOff>495301</xdr:colOff>
      <xdr:row>7</xdr:row>
      <xdr:rowOff>114299</xdr:rowOff>
    </xdr:to>
    <xdr:pic>
      <xdr:nvPicPr>
        <xdr:cNvPr id="3" name="Image 2" descr="Stocks Icon | iOS7 Style Iconset | iynque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24101" y="1285874"/>
          <a:ext cx="457200" cy="457200"/>
        </a:xfrm>
        <a:prstGeom prst="rect">
          <a:avLst/>
        </a:prstGeom>
      </xdr:spPr>
    </xdr:pic>
    <xdr:clientData/>
  </xdr:twoCellAnchor>
  <xdr:twoCellAnchor editAs="oneCell">
    <xdr:from>
      <xdr:col>3</xdr:col>
      <xdr:colOff>19051</xdr:colOff>
      <xdr:row>16</xdr:row>
      <xdr:rowOff>19049</xdr:rowOff>
    </xdr:from>
    <xdr:to>
      <xdr:col>3</xdr:col>
      <xdr:colOff>476251</xdr:colOff>
      <xdr:row>18</xdr:row>
      <xdr:rowOff>95249</xdr:rowOff>
    </xdr:to>
    <xdr:pic>
      <xdr:nvPicPr>
        <xdr:cNvPr id="5" name="Image 4" descr="Stocks Icon | iOS7 Style Iconset | iynque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1" y="3419474"/>
          <a:ext cx="457200" cy="457200"/>
        </a:xfrm>
        <a:prstGeom prst="rect">
          <a:avLst/>
        </a:prstGeom>
      </xdr:spPr>
    </xdr:pic>
    <xdr:clientData/>
  </xdr:twoCellAnchor>
  <xdr:twoCellAnchor editAs="oneCell">
    <xdr:from>
      <xdr:col>13</xdr:col>
      <xdr:colOff>66676</xdr:colOff>
      <xdr:row>5</xdr:row>
      <xdr:rowOff>57150</xdr:rowOff>
    </xdr:from>
    <xdr:to>
      <xdr:col>13</xdr:col>
      <xdr:colOff>599962</xdr:colOff>
      <xdr:row>7</xdr:row>
      <xdr:rowOff>123825</xdr:rowOff>
    </xdr:to>
    <xdr:pic>
      <xdr:nvPicPr>
        <xdr:cNvPr id="8" name="Image 7" descr="Bar Chart - Wisc-Online OER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972676" y="1304925"/>
          <a:ext cx="533286" cy="447675"/>
        </a:xfrm>
        <a:prstGeom prst="rect">
          <a:avLst/>
        </a:prstGeom>
      </xdr:spPr>
    </xdr:pic>
    <xdr:clientData/>
  </xdr:twoCellAnchor>
  <xdr:twoCellAnchor editAs="oneCell">
    <xdr:from>
      <xdr:col>13</xdr:col>
      <xdr:colOff>85726</xdr:colOff>
      <xdr:row>16</xdr:row>
      <xdr:rowOff>66675</xdr:rowOff>
    </xdr:from>
    <xdr:to>
      <xdr:col>13</xdr:col>
      <xdr:colOff>619012</xdr:colOff>
      <xdr:row>18</xdr:row>
      <xdr:rowOff>133350</xdr:rowOff>
    </xdr:to>
    <xdr:pic>
      <xdr:nvPicPr>
        <xdr:cNvPr id="9" name="Image 8" descr="Bar Chart - Wisc-Online OER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991726" y="3467100"/>
          <a:ext cx="533286" cy="447675"/>
        </a:xfrm>
        <a:prstGeom prst="rect">
          <a:avLst/>
        </a:prstGeom>
      </xdr:spPr>
    </xdr:pic>
    <xdr:clientData/>
  </xdr:twoCellAnchor>
  <xdr:twoCellAnchor editAs="oneCell">
    <xdr:from>
      <xdr:col>8</xdr:col>
      <xdr:colOff>38100</xdr:colOff>
      <xdr:row>5</xdr:row>
      <xdr:rowOff>0</xdr:rowOff>
    </xdr:from>
    <xdr:to>
      <xdr:col>8</xdr:col>
      <xdr:colOff>657225</xdr:colOff>
      <xdr:row>8</xdr:row>
      <xdr:rowOff>29106</xdr:rowOff>
    </xdr:to>
    <xdr:pic>
      <xdr:nvPicPr>
        <xdr:cNvPr id="11" name="Image 10" descr="Tire PNG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134100" y="1247775"/>
          <a:ext cx="619125" cy="600606"/>
        </a:xfrm>
        <a:prstGeom prst="rect">
          <a:avLst/>
        </a:prstGeom>
      </xdr:spPr>
    </xdr:pic>
    <xdr:clientData/>
  </xdr:twoCellAnchor>
  <xdr:twoCellAnchor editAs="oneCell">
    <xdr:from>
      <xdr:col>8</xdr:col>
      <xdr:colOff>104775</xdr:colOff>
      <xdr:row>16</xdr:row>
      <xdr:rowOff>85725</xdr:rowOff>
    </xdr:from>
    <xdr:to>
      <xdr:col>8</xdr:col>
      <xdr:colOff>552450</xdr:colOff>
      <xdr:row>19</xdr:row>
      <xdr:rowOff>30410</xdr:rowOff>
    </xdr:to>
    <xdr:pic>
      <xdr:nvPicPr>
        <xdr:cNvPr id="12" name="Image 11" descr="Wrench, spanner PNG image, free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00775" y="3486150"/>
          <a:ext cx="447675" cy="51618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47625</xdr:colOff>
          <xdr:row>2</xdr:row>
          <xdr:rowOff>47625</xdr:rowOff>
        </xdr:from>
        <xdr:to>
          <xdr:col>2</xdr:col>
          <xdr:colOff>57150</xdr:colOff>
          <xdr:row>3</xdr:row>
          <xdr:rowOff>161925</xdr:rowOff>
        </xdr:to>
        <xdr:sp macro="" textlink="">
          <xdr:nvSpPr>
            <xdr:cNvPr id="1028" name="CommandButton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</xdr:row>
          <xdr:rowOff>66675</xdr:rowOff>
        </xdr:from>
        <xdr:to>
          <xdr:col>2</xdr:col>
          <xdr:colOff>38100</xdr:colOff>
          <xdr:row>3</xdr:row>
          <xdr:rowOff>180975</xdr:rowOff>
        </xdr:to>
        <xdr:sp macro="" textlink="">
          <xdr:nvSpPr>
            <xdr:cNvPr id="2052" name="CommandButton2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752475</xdr:colOff>
          <xdr:row>2</xdr:row>
          <xdr:rowOff>76200</xdr:rowOff>
        </xdr:from>
        <xdr:to>
          <xdr:col>3</xdr:col>
          <xdr:colOff>276225</xdr:colOff>
          <xdr:row>4</xdr:row>
          <xdr:rowOff>0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333375</xdr:colOff>
          <xdr:row>2</xdr:row>
          <xdr:rowOff>66675</xdr:rowOff>
        </xdr:from>
        <xdr:to>
          <xdr:col>4</xdr:col>
          <xdr:colOff>1504950</xdr:colOff>
          <xdr:row>3</xdr:row>
          <xdr:rowOff>180975</xdr:rowOff>
        </xdr:to>
        <xdr:sp macro="" textlink="">
          <xdr:nvSpPr>
            <xdr:cNvPr id="4098" name="CommandButton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B5:AD11" headerRowDxfId="51">
  <autoFilter ref="B5:AD11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</autoFilter>
  <sortState ref="B6:AC11">
    <sortCondition descending="1" ref="J5:J11"/>
  </sortState>
  <tableColumns count="29">
    <tableColumn id="1" name="Ref Pneu" totalsRowLabel="Total" dataDxfId="50"/>
    <tableColumn id="2" name="Marque"/>
    <tableColumn id="3" name="Modèle"/>
    <tableColumn id="4" name="Larg."/>
    <tableColumn id="5" name="Haut."/>
    <tableColumn id="6" name="diam" dataDxfId="49"/>
    <tableColumn id="7" name="Ind.Vit."/>
    <tableColumn id="8" name="Ind.Char."/>
    <tableColumn id="9" name="Saison"/>
    <tableColumn id="10" name="Runflat"/>
    <tableColumn id="11" name="Prix Achat"/>
    <tableColumn id="28" name="Prix Vente" dataDxfId="26">
      <calculatedColumnFormula>Tableau1[[#This Row],[Prix Achat]]*Tableau4[marge benefice]</calculatedColumnFormula>
    </tableColumn>
    <tableColumn id="12" name="Stock" dataDxfId="33">
      <calculatedColumnFormula>SUMIFS(Tableau3[Nombre],Tableau3[[Référence article ]],Tableau1[Ref Pneu],Tableau3[Type],"Entrée")-SUMIFS(Tableau3[Nombre],Tableau3[[Référence article ]],Tableau1[Ref Pneu],Tableau3[Type],"Sortie")</calculatedColumnFormula>
    </tableColumn>
    <tableColumn id="13" name="Valeur stock" dataDxfId="25">
      <calculatedColumnFormula>Tableau1[[#This Row],[Stock]]*Tableau1[[#This Row],[Prix Achat]]</calculatedColumnFormula>
    </tableColumn>
    <tableColumn id="14" name="Stock Min"/>
    <tableColumn id="15" name="Flag" dataDxfId="48">
      <calculatedColumnFormula>IF(N6&lt;P6,1,"")</calculatedColumnFormula>
    </tableColumn>
    <tableColumn id="29" name="Status" dataDxfId="47"/>
    <tableColumn id="16" name="Colonne1"/>
    <tableColumn id="17" name="1"/>
    <tableColumn id="18" name="2"/>
    <tableColumn id="19" name="3"/>
    <tableColumn id="20" name="4"/>
    <tableColumn id="21" name="5"/>
    <tableColumn id="22" name="6"/>
    <tableColumn id="23" name="7"/>
    <tableColumn id="24" name="8"/>
    <tableColumn id="25" name="9"/>
    <tableColumn id="26" name="10"/>
    <tableColumn id="27" name="&gt;10" totalsRowFunction="count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5:W10" totalsRowShown="0" headerRowDxfId="46">
  <autoFilter ref="B5:W10">
    <filterColumn colId="0" hiddenButton="1"/>
    <filterColumn colId="1" hiddenButton="1"/>
    <filterColumn colId="2" hiddenButton="1"/>
    <filterColumn colId="3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</autoFilter>
  <tableColumns count="22">
    <tableColumn id="1" name="Réf Article"/>
    <tableColumn id="2" name="Nom"/>
    <tableColumn id="3" name="Description"/>
    <tableColumn id="4" name="Prix Achat" dataCellStyle="Monétaire"/>
    <tableColumn id="21" name="Prix Vente" dataCellStyle="Monétaire">
      <calculatedColumnFormula>Tableau2[[#This Row],[Prix Achat]]*Tableau4[marge benefice]</calculatedColumnFormula>
    </tableColumn>
    <tableColumn id="5" name="Stock" dataDxfId="13">
      <calculatedColumnFormula>SUMIFS(Tableau3[Nombre],Tableau3[[Référence article ]],Tableau2[Réf Article],Tableau3[Type],"Entrée")-SUMIFS(Tableau3[Nombre],Tableau3[[Référence article ]],Tableau2[Réf Article],Tableau3[Type],"Sortie")</calculatedColumnFormula>
    </tableColumn>
    <tableColumn id="6" name="Valeur stock" dataDxfId="32">
      <calculatedColumnFormula>Tableau2[[#This Row],[Prix Achat]]*Tableau2[[#This Row],[Stock]]</calculatedColumnFormula>
    </tableColumn>
    <tableColumn id="7" name="Stock min."/>
    <tableColumn id="8" name="Flag" dataDxfId="45">
      <calculatedColumnFormula>IF(G6&lt;I6,1,"")</calculatedColumnFormula>
    </tableColumn>
    <tableColumn id="22" name="Status" dataDxfId="44"/>
    <tableColumn id="9" name="vide"/>
    <tableColumn id="10" name="1"/>
    <tableColumn id="11" name="2"/>
    <tableColumn id="12" name="3"/>
    <tableColumn id="13" name="4"/>
    <tableColumn id="14" name="5"/>
    <tableColumn id="15" name="6"/>
    <tableColumn id="16" name="7"/>
    <tableColumn id="17" name="8"/>
    <tableColumn id="18" name="9"/>
    <tableColumn id="19" name="10"/>
    <tableColumn id="20" name="&gt;10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B5:K16" headerRowDxfId="43" dataDxfId="42">
  <sortState ref="B6:K16">
    <sortCondition ref="B6"/>
  </sortState>
  <tableColumns count="10">
    <tableColumn id="1" name="Date" totalsRowLabel="Total" dataDxfId="12" totalsRowDxfId="14"/>
    <tableColumn id="2" name="Type" dataDxfId="41" totalsRowDxfId="15"/>
    <tableColumn id="3" name="Numéro Facture" dataDxfId="40" totalsRowDxfId="16"/>
    <tableColumn id="4" name="Référence article " dataDxfId="39" totalsRowDxfId="17"/>
    <tableColumn id="7" name="Marque / Nom" dataDxfId="38" totalsRowDxfId="18"/>
    <tableColumn id="8" name="Modèle / Description" dataDxfId="37" totalsRowDxfId="19"/>
    <tableColumn id="5" name="Nombre" dataDxfId="36" totalsRowDxfId="20"/>
    <tableColumn id="9" name="Prix Achat" dataDxfId="35" totalsRowDxfId="21"/>
    <tableColumn id="10" name="Prix Total" dataDxfId="34" totalsRowDxfId="22"/>
    <tableColumn id="6" name="Ranking" totalsRowFunction="count" dataDxfId="24" totalsRowDxfId="23">
      <calculatedColumnFormula>IF(Tableau3[Type]="Sortie",COUNTIFS(Tableau3[Type],"Sortie",Tableau3[Nombre],"&gt;"&amp;Tableau3[[#This Row],[Nombre]])+1,"")</calculatedColumnFormula>
    </tableColumn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B4:D5" totalsRowShown="0" headerRowDxfId="27" dataDxfId="28">
  <autoFilter ref="B4:D5"/>
  <tableColumns count="3">
    <tableColumn id="1" name="marge benefice" dataDxfId="31"/>
    <tableColumn id="2" name="Colonne2" dataDxfId="30"/>
    <tableColumn id="3" name="Colonne3" dataDxfId="2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5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image" Target="../media/image6.emf"/><Relationship Id="rId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7" Type="http://schemas.openxmlformats.org/officeDocument/2006/relationships/table" Target="../tables/table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4.xml"/><Relationship Id="rId6" Type="http://schemas.openxmlformats.org/officeDocument/2006/relationships/image" Target="../media/image8.emf"/><Relationship Id="rId5" Type="http://schemas.openxmlformats.org/officeDocument/2006/relationships/control" Target="../activeX/activeX4.xml"/><Relationship Id="rId4" Type="http://schemas.openxmlformats.org/officeDocument/2006/relationships/image" Target="../media/image7.emf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W30"/>
  <sheetViews>
    <sheetView tabSelected="1" workbookViewId="0">
      <selection activeCell="D2" sqref="D2:Q2"/>
    </sheetView>
  </sheetViews>
  <sheetFormatPr baseColWidth="10" defaultRowHeight="15" x14ac:dyDescent="0.25"/>
  <sheetData>
    <row r="1" spans="3:23" ht="15.75" thickBot="1" x14ac:dyDescent="0.3"/>
    <row r="2" spans="3:23" ht="42.75" thickTop="1" thickBot="1" x14ac:dyDescent="0.3">
      <c r="D2" s="43" t="s">
        <v>126</v>
      </c>
      <c r="E2" s="44"/>
      <c r="F2" s="44"/>
      <c r="G2" s="44"/>
      <c r="H2" s="44"/>
      <c r="I2" s="44"/>
      <c r="J2" s="44"/>
      <c r="K2" s="44"/>
      <c r="L2" s="44"/>
      <c r="M2" s="44"/>
      <c r="N2" s="44"/>
      <c r="O2" s="44"/>
      <c r="P2" s="44"/>
      <c r="Q2" s="45"/>
    </row>
    <row r="3" spans="3:23" ht="14.25" customHeight="1" thickTop="1" x14ac:dyDescent="0.25">
      <c r="C3" s="18"/>
      <c r="D3" s="42"/>
      <c r="E3" s="42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18"/>
      <c r="S3" s="18"/>
      <c r="T3" s="18"/>
      <c r="U3" s="18"/>
      <c r="V3" s="18"/>
      <c r="W3" s="18"/>
    </row>
    <row r="4" spans="3:23" ht="12.75" customHeight="1" x14ac:dyDescent="0.25">
      <c r="C4" s="18"/>
      <c r="D4" s="39"/>
      <c r="E4" s="39"/>
      <c r="F4" s="39"/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  <c r="R4" s="18"/>
      <c r="S4" s="18"/>
      <c r="T4" s="18"/>
      <c r="U4" s="18"/>
      <c r="V4" s="18"/>
      <c r="W4" s="18"/>
    </row>
    <row r="6" spans="3:23" x14ac:dyDescent="0.25">
      <c r="D6" s="30">
        <f>Config!E9</f>
        <v>503</v>
      </c>
      <c r="E6" s="30"/>
      <c r="F6" s="30"/>
      <c r="G6" s="30"/>
      <c r="I6" s="31">
        <f>Config!E11</f>
        <v>6</v>
      </c>
      <c r="J6" s="31"/>
      <c r="K6" s="31"/>
      <c r="L6" s="31"/>
      <c r="N6" s="32">
        <f>Config!E12</f>
        <v>679</v>
      </c>
      <c r="O6" s="32"/>
      <c r="P6" s="32"/>
      <c r="Q6" s="32"/>
    </row>
    <row r="7" spans="3:23" x14ac:dyDescent="0.25">
      <c r="D7" s="30"/>
      <c r="E7" s="30"/>
      <c r="F7" s="30"/>
      <c r="G7" s="30"/>
      <c r="I7" s="31"/>
      <c r="J7" s="31"/>
      <c r="K7" s="31"/>
      <c r="L7" s="31"/>
      <c r="N7" s="32"/>
      <c r="O7" s="32"/>
      <c r="P7" s="32"/>
      <c r="Q7" s="32"/>
    </row>
    <row r="8" spans="3:23" x14ac:dyDescent="0.25">
      <c r="D8" s="30"/>
      <c r="E8" s="30"/>
      <c r="F8" s="30"/>
      <c r="G8" s="30"/>
      <c r="I8" s="31"/>
      <c r="J8" s="31"/>
      <c r="K8" s="31"/>
      <c r="L8" s="31"/>
      <c r="N8" s="32"/>
      <c r="O8" s="32"/>
      <c r="P8" s="32"/>
      <c r="Q8" s="32"/>
    </row>
    <row r="9" spans="3:23" x14ac:dyDescent="0.25">
      <c r="D9" s="30"/>
      <c r="E9" s="30"/>
      <c r="F9" s="30"/>
      <c r="G9" s="30"/>
      <c r="I9" s="31"/>
      <c r="J9" s="31"/>
      <c r="K9" s="31"/>
      <c r="L9" s="31"/>
      <c r="N9" s="32"/>
      <c r="O9" s="32"/>
      <c r="P9" s="32"/>
      <c r="Q9" s="32"/>
    </row>
    <row r="10" spans="3:23" x14ac:dyDescent="0.25">
      <c r="D10" s="30"/>
      <c r="E10" s="30"/>
      <c r="F10" s="30"/>
      <c r="G10" s="30"/>
      <c r="I10" s="31"/>
      <c r="J10" s="31"/>
      <c r="K10" s="31"/>
      <c r="L10" s="31"/>
      <c r="N10" s="32"/>
      <c r="O10" s="32"/>
      <c r="P10" s="32"/>
      <c r="Q10" s="32"/>
    </row>
    <row r="11" spans="3:23" x14ac:dyDescent="0.25">
      <c r="D11" s="30"/>
      <c r="E11" s="30"/>
      <c r="F11" s="30"/>
      <c r="G11" s="30"/>
      <c r="I11" s="31"/>
      <c r="J11" s="31"/>
      <c r="K11" s="31"/>
      <c r="L11" s="31"/>
      <c r="N11" s="32"/>
      <c r="O11" s="32"/>
      <c r="P11" s="32"/>
      <c r="Q11" s="32"/>
    </row>
    <row r="12" spans="3:23" ht="19.5" x14ac:dyDescent="0.25">
      <c r="D12" s="29" t="s">
        <v>127</v>
      </c>
      <c r="E12" s="29"/>
      <c r="F12" s="29"/>
      <c r="G12" s="28"/>
      <c r="I12" s="29" t="s">
        <v>131</v>
      </c>
      <c r="J12" s="29"/>
      <c r="K12" s="29"/>
      <c r="L12" s="29"/>
      <c r="N12" s="29" t="s">
        <v>128</v>
      </c>
      <c r="O12" s="29"/>
      <c r="P12" s="29"/>
      <c r="Q12" s="29"/>
    </row>
    <row r="17" spans="4:17" x14ac:dyDescent="0.25">
      <c r="D17" s="33">
        <f>Config!E17</f>
        <v>496</v>
      </c>
      <c r="E17" s="33"/>
      <c r="F17" s="33"/>
      <c r="G17" s="33"/>
      <c r="I17" s="38">
        <f>Config!E19</f>
        <v>5</v>
      </c>
      <c r="J17" s="38"/>
      <c r="K17" s="38"/>
      <c r="L17" s="38"/>
      <c r="N17" s="38">
        <f>Config!E20</f>
        <v>194</v>
      </c>
      <c r="O17" s="38"/>
      <c r="P17" s="38"/>
      <c r="Q17" s="38"/>
    </row>
    <row r="18" spans="4:17" x14ac:dyDescent="0.25">
      <c r="D18" s="33"/>
      <c r="E18" s="33"/>
      <c r="F18" s="33"/>
      <c r="G18" s="33"/>
      <c r="I18" s="38"/>
      <c r="J18" s="38"/>
      <c r="K18" s="38"/>
      <c r="L18" s="38"/>
      <c r="N18" s="38"/>
      <c r="O18" s="38"/>
      <c r="P18" s="38"/>
      <c r="Q18" s="38"/>
    </row>
    <row r="19" spans="4:17" x14ac:dyDescent="0.25">
      <c r="D19" s="33"/>
      <c r="E19" s="33"/>
      <c r="F19" s="33"/>
      <c r="G19" s="33"/>
      <c r="I19" s="38"/>
      <c r="J19" s="38"/>
      <c r="K19" s="38"/>
      <c r="L19" s="38"/>
      <c r="N19" s="38"/>
      <c r="O19" s="38"/>
      <c r="P19" s="38"/>
      <c r="Q19" s="38"/>
    </row>
    <row r="20" spans="4:17" x14ac:dyDescent="0.25">
      <c r="D20" s="33"/>
      <c r="E20" s="33"/>
      <c r="F20" s="33"/>
      <c r="G20" s="33"/>
      <c r="I20" s="38"/>
      <c r="J20" s="38"/>
      <c r="K20" s="38"/>
      <c r="L20" s="38"/>
      <c r="N20" s="38"/>
      <c r="O20" s="38"/>
      <c r="P20" s="38"/>
      <c r="Q20" s="38"/>
    </row>
    <row r="21" spans="4:17" x14ac:dyDescent="0.25">
      <c r="D21" s="33"/>
      <c r="E21" s="33"/>
      <c r="F21" s="33"/>
      <c r="G21" s="33"/>
      <c r="I21" s="38"/>
      <c r="J21" s="38"/>
      <c r="K21" s="38"/>
      <c r="L21" s="38"/>
      <c r="N21" s="38"/>
      <c r="O21" s="38"/>
      <c r="P21" s="38"/>
      <c r="Q21" s="38"/>
    </row>
    <row r="22" spans="4:17" x14ac:dyDescent="0.25">
      <c r="D22" s="33"/>
      <c r="E22" s="33"/>
      <c r="F22" s="33"/>
      <c r="G22" s="33"/>
      <c r="I22" s="38"/>
      <c r="J22" s="38"/>
      <c r="K22" s="38"/>
      <c r="L22" s="38"/>
      <c r="N22" s="38"/>
      <c r="O22" s="38"/>
      <c r="P22" s="38"/>
      <c r="Q22" s="38"/>
    </row>
    <row r="23" spans="4:17" ht="19.5" x14ac:dyDescent="0.25">
      <c r="D23" s="35" t="s">
        <v>129</v>
      </c>
      <c r="E23" s="35"/>
      <c r="F23" s="35"/>
      <c r="G23" s="34"/>
      <c r="I23" s="35" t="s">
        <v>130</v>
      </c>
      <c r="J23" s="35"/>
      <c r="K23" s="35"/>
      <c r="L23" s="35"/>
      <c r="N23" s="35" t="s">
        <v>132</v>
      </c>
      <c r="O23" s="35"/>
      <c r="P23" s="35"/>
      <c r="Q23" s="35"/>
    </row>
    <row r="26" spans="4:17" ht="15.75" thickBot="1" x14ac:dyDescent="0.3"/>
    <row r="27" spans="4:17" ht="42.75" thickTop="1" thickBot="1" x14ac:dyDescent="0.3">
      <c r="D27" s="43" t="s">
        <v>139</v>
      </c>
      <c r="E27" s="44"/>
      <c r="F27" s="44"/>
      <c r="G27" s="45"/>
    </row>
    <row r="28" spans="4:17" ht="25.5" thickTop="1" x14ac:dyDescent="0.5">
      <c r="D28" s="40" t="str">
        <f>Config!E13</f>
        <v>gre</v>
      </c>
      <c r="E28" s="40"/>
      <c r="F28" s="40"/>
      <c r="G28" s="40"/>
    </row>
    <row r="29" spans="4:17" ht="24.75" customHeight="1" x14ac:dyDescent="0.5">
      <c r="D29" s="41" t="str">
        <f>Config!F21</f>
        <v>conti564</v>
      </c>
      <c r="E29" s="41"/>
      <c r="F29" s="41"/>
      <c r="G29" s="41"/>
    </row>
    <row r="30" spans="4:17" ht="24.75" x14ac:dyDescent="0.5">
      <c r="D30" s="40" t="str">
        <f>Config!G21</f>
        <v>conti564</v>
      </c>
      <c r="E30" s="40"/>
      <c r="F30" s="40"/>
      <c r="G30" s="40"/>
    </row>
  </sheetData>
  <mergeCells count="17">
    <mergeCell ref="D28:G28"/>
    <mergeCell ref="D29:G29"/>
    <mergeCell ref="D30:G30"/>
    <mergeCell ref="D27:G27"/>
    <mergeCell ref="D17:G22"/>
    <mergeCell ref="D23:F23"/>
    <mergeCell ref="I17:L22"/>
    <mergeCell ref="N17:Q22"/>
    <mergeCell ref="I23:L23"/>
    <mergeCell ref="N23:Q23"/>
    <mergeCell ref="D2:Q2"/>
    <mergeCell ref="I6:L11"/>
    <mergeCell ref="D6:G11"/>
    <mergeCell ref="D12:F12"/>
    <mergeCell ref="N6:Q11"/>
    <mergeCell ref="I12:L12"/>
    <mergeCell ref="N12:Q1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3:AD11"/>
  <sheetViews>
    <sheetView workbookViewId="0">
      <selection activeCell="D17" sqref="D17"/>
    </sheetView>
  </sheetViews>
  <sheetFormatPr baseColWidth="10" defaultColWidth="9.140625" defaultRowHeight="15" x14ac:dyDescent="0.25"/>
  <cols>
    <col min="1" max="1" width="2.7109375" customWidth="1"/>
    <col min="2" max="2" width="15" customWidth="1"/>
    <col min="3" max="3" width="14.85546875" customWidth="1"/>
    <col min="4" max="4" width="18" customWidth="1"/>
    <col min="5" max="5" width="8.42578125" customWidth="1"/>
    <col min="6" max="6" width="8.5703125" customWidth="1"/>
    <col min="7" max="7" width="8" style="6" customWidth="1"/>
    <col min="8" max="8" width="10.140625" customWidth="1"/>
    <col min="9" max="9" width="12.42578125" customWidth="1"/>
    <col min="10" max="10" width="10.140625" customWidth="1"/>
    <col min="11" max="11" width="10.5703125" customWidth="1"/>
    <col min="12" max="12" width="13.42578125" customWidth="1"/>
    <col min="13" max="13" width="13.7109375" customWidth="1"/>
    <col min="14" max="14" width="9" customWidth="1"/>
    <col min="15" max="15" width="15.7109375" style="17" customWidth="1"/>
    <col min="16" max="16" width="13.28515625" customWidth="1"/>
    <col min="17" max="17" width="7.5703125" customWidth="1"/>
    <col min="18" max="18" width="10.140625" customWidth="1"/>
    <col min="19" max="19" width="1" customWidth="1"/>
    <col min="20" max="28" width="4.28515625" customWidth="1"/>
    <col min="29" max="29" width="5.42578125" customWidth="1"/>
    <col min="30" max="30" width="6.7109375" customWidth="1"/>
  </cols>
  <sheetData>
    <row r="3" spans="2:30" x14ac:dyDescent="0.25">
      <c r="G3"/>
    </row>
    <row r="4" spans="2:30" x14ac:dyDescent="0.25">
      <c r="T4">
        <v>1</v>
      </c>
      <c r="U4">
        <v>2</v>
      </c>
      <c r="V4">
        <v>3</v>
      </c>
      <c r="W4">
        <v>4</v>
      </c>
      <c r="X4">
        <v>5</v>
      </c>
      <c r="Y4">
        <v>6</v>
      </c>
      <c r="Z4">
        <v>7</v>
      </c>
      <c r="AA4">
        <v>8</v>
      </c>
      <c r="AB4">
        <v>9</v>
      </c>
      <c r="AC4">
        <v>10</v>
      </c>
    </row>
    <row r="5" spans="2:30" x14ac:dyDescent="0.25">
      <c r="B5" s="10" t="s">
        <v>104</v>
      </c>
      <c r="C5" s="10" t="s">
        <v>0</v>
      </c>
      <c r="D5" s="10" t="s">
        <v>1</v>
      </c>
      <c r="E5" s="10" t="s">
        <v>113</v>
      </c>
      <c r="F5" s="10" t="s">
        <v>114</v>
      </c>
      <c r="G5" s="11" t="s">
        <v>79</v>
      </c>
      <c r="H5" s="10" t="s">
        <v>77</v>
      </c>
      <c r="I5" s="10" t="s">
        <v>78</v>
      </c>
      <c r="J5" s="10" t="s">
        <v>3</v>
      </c>
      <c r="K5" s="10" t="s">
        <v>2</v>
      </c>
      <c r="L5" s="10" t="s">
        <v>81</v>
      </c>
      <c r="M5" s="10" t="s">
        <v>80</v>
      </c>
      <c r="N5" s="10" t="s">
        <v>4</v>
      </c>
      <c r="O5" s="20" t="s">
        <v>8</v>
      </c>
      <c r="P5" s="10" t="s">
        <v>5</v>
      </c>
      <c r="Q5" s="10" t="s">
        <v>6</v>
      </c>
      <c r="R5" s="10" t="s">
        <v>20</v>
      </c>
      <c r="S5" s="4" t="s">
        <v>19</v>
      </c>
      <c r="T5" s="1" t="s">
        <v>9</v>
      </c>
      <c r="U5" s="1" t="s">
        <v>10</v>
      </c>
      <c r="V5" s="1" t="s">
        <v>11</v>
      </c>
      <c r="W5" s="1" t="s">
        <v>12</v>
      </c>
      <c r="X5" s="1" t="s">
        <v>13</v>
      </c>
      <c r="Y5" s="1" t="s">
        <v>14</v>
      </c>
      <c r="Z5" s="1" t="s">
        <v>15</v>
      </c>
      <c r="AA5" s="1" t="s">
        <v>16</v>
      </c>
      <c r="AB5" s="1" t="s">
        <v>17</v>
      </c>
      <c r="AC5" s="1" t="s">
        <v>18</v>
      </c>
      <c r="AD5" s="1" t="s">
        <v>7</v>
      </c>
    </row>
    <row r="6" spans="2:30" x14ac:dyDescent="0.25">
      <c r="B6" s="16">
        <v>654651</v>
      </c>
      <c r="C6" t="s">
        <v>37</v>
      </c>
      <c r="D6" t="s">
        <v>38</v>
      </c>
      <c r="E6" t="s">
        <v>39</v>
      </c>
      <c r="F6" s="2" t="s">
        <v>114</v>
      </c>
      <c r="G6" s="6" t="s">
        <v>40</v>
      </c>
      <c r="H6" t="s">
        <v>34</v>
      </c>
      <c r="I6" t="s">
        <v>41</v>
      </c>
      <c r="J6" t="s">
        <v>42</v>
      </c>
      <c r="K6" t="s">
        <v>29</v>
      </c>
      <c r="L6" s="5">
        <v>250</v>
      </c>
      <c r="M6" s="5">
        <f>Tableau1[[#This Row],[Prix Achat]]*Tableau4[marge benefice]</f>
        <v>500</v>
      </c>
      <c r="N6">
        <f>SUMIFS(Tableau3[Nombre],Tableau3[[Référence article ]],Tableau1[Ref Pneu],Tableau3[Type],"Entrée")-SUMIFS(Tableau3[Nombre],Tableau3[[Référence article ]],Tableau1[Ref Pneu],Tableau3[Type],"Sortie")</f>
        <v>0</v>
      </c>
      <c r="O6" s="17">
        <f>Tableau1[[#This Row],[Stock]]*Tableau1[[#This Row],[Prix Achat]]</f>
        <v>0</v>
      </c>
      <c r="P6">
        <v>5</v>
      </c>
      <c r="Q6" s="12">
        <f t="shared" ref="Q6:Q11" si="0">IF(N6&lt;P6,1,"")</f>
        <v>1</v>
      </c>
      <c r="R6" s="3" t="s">
        <v>21</v>
      </c>
    </row>
    <row r="7" spans="2:30" x14ac:dyDescent="0.25">
      <c r="B7" s="16">
        <v>12445</v>
      </c>
      <c r="C7" t="s">
        <v>63</v>
      </c>
      <c r="D7" t="s">
        <v>64</v>
      </c>
      <c r="E7" t="s">
        <v>39</v>
      </c>
      <c r="F7" s="2" t="s">
        <v>53</v>
      </c>
      <c r="G7" s="6" t="s">
        <v>65</v>
      </c>
      <c r="H7" t="s">
        <v>34</v>
      </c>
      <c r="I7" t="s">
        <v>66</v>
      </c>
      <c r="J7" t="s">
        <v>42</v>
      </c>
      <c r="K7" t="s">
        <v>29</v>
      </c>
      <c r="L7" s="5">
        <v>35</v>
      </c>
      <c r="M7" s="5">
        <f>Tableau1[[#This Row],[Prix Achat]]*Tableau4[marge benefice]</f>
        <v>70</v>
      </c>
      <c r="N7">
        <f>SUMIFS(Tableau3[Nombre],Tableau3[[Référence article ]],Tableau1[Ref Pneu],Tableau3[Type],"Entrée")-SUMIFS(Tableau3[Nombre],Tableau3[[Référence article ]],Tableau1[Ref Pneu],Tableau3[Type],"Sortie")</f>
        <v>100</v>
      </c>
      <c r="O7" s="17">
        <f>Tableau1[[#This Row],[Stock]]*Tableau1[[#This Row],[Prix Achat]]</f>
        <v>3500</v>
      </c>
      <c r="P7">
        <v>2</v>
      </c>
      <c r="Q7" s="12" t="str">
        <f t="shared" si="0"/>
        <v/>
      </c>
      <c r="R7" s="3" t="s">
        <v>21</v>
      </c>
    </row>
    <row r="8" spans="2:30" x14ac:dyDescent="0.25">
      <c r="B8" s="16" t="s">
        <v>36</v>
      </c>
      <c r="C8" t="s">
        <v>22</v>
      </c>
      <c r="D8" t="s">
        <v>23</v>
      </c>
      <c r="E8" t="s">
        <v>24</v>
      </c>
      <c r="F8" s="13">
        <v>35</v>
      </c>
      <c r="G8" s="6" t="s">
        <v>25</v>
      </c>
      <c r="H8" t="s">
        <v>26</v>
      </c>
      <c r="I8" t="s">
        <v>27</v>
      </c>
      <c r="J8" t="s">
        <v>28</v>
      </c>
      <c r="K8" t="s">
        <v>29</v>
      </c>
      <c r="L8" s="5">
        <v>35</v>
      </c>
      <c r="M8" s="5">
        <f>Tableau1[[#This Row],[Prix Achat]]*Tableau4[marge benefice]</f>
        <v>70</v>
      </c>
      <c r="N8">
        <f>SUMIFS(Tableau3[Nombre],Tableau3[[Référence article ]],Tableau1[Ref Pneu],Tableau3[Type],"Entrée")-SUMIFS(Tableau3[Nombre],Tableau3[[Référence article ]],Tableau1[Ref Pneu],Tableau3[Type],"Sortie")</f>
        <v>69</v>
      </c>
      <c r="O8" s="17">
        <f>Tableau1[[#This Row],[Stock]]*Tableau1[[#This Row],[Prix Achat]]</f>
        <v>2415</v>
      </c>
      <c r="P8">
        <v>2</v>
      </c>
      <c r="Q8" s="12" t="str">
        <f t="shared" si="0"/>
        <v/>
      </c>
      <c r="R8" s="3" t="s">
        <v>21</v>
      </c>
    </row>
    <row r="9" spans="2:30" x14ac:dyDescent="0.25">
      <c r="B9" s="16" t="s">
        <v>30</v>
      </c>
      <c r="C9" t="s">
        <v>22</v>
      </c>
      <c r="D9" t="s">
        <v>31</v>
      </c>
      <c r="E9" t="s">
        <v>32</v>
      </c>
      <c r="F9" s="2" t="s">
        <v>33</v>
      </c>
      <c r="G9" s="6" t="s">
        <v>25</v>
      </c>
      <c r="H9" t="s">
        <v>34</v>
      </c>
      <c r="I9" t="s">
        <v>35</v>
      </c>
      <c r="J9" t="s">
        <v>28</v>
      </c>
      <c r="K9" t="s">
        <v>29</v>
      </c>
      <c r="L9" s="5">
        <v>45</v>
      </c>
      <c r="M9" s="5">
        <f>Tableau1[[#This Row],[Prix Achat]]*Tableau4[marge benefice]</f>
        <v>90</v>
      </c>
      <c r="N9">
        <f>SUMIFS(Tableau3[Nombre],Tableau3[[Référence article ]],Tableau1[Ref Pneu],Tableau3[Type],"Entrée")-SUMIFS(Tableau3[Nombre],Tableau3[[Référence article ]],Tableau1[Ref Pneu],Tableau3[Type],"Sortie")</f>
        <v>75</v>
      </c>
      <c r="O9" s="17">
        <f>Tableau1[[#This Row],[Stock]]*Tableau1[[#This Row],[Prix Achat]]</f>
        <v>3375</v>
      </c>
      <c r="P9">
        <v>2</v>
      </c>
      <c r="Q9" s="12" t="str">
        <f t="shared" si="0"/>
        <v/>
      </c>
      <c r="R9" s="3" t="s">
        <v>21</v>
      </c>
    </row>
    <row r="10" spans="2:30" x14ac:dyDescent="0.25">
      <c r="B10" s="16" t="s">
        <v>56</v>
      </c>
      <c r="C10" t="s">
        <v>37</v>
      </c>
      <c r="D10" t="s">
        <v>57</v>
      </c>
      <c r="E10" t="s">
        <v>58</v>
      </c>
      <c r="F10" s="2" t="s">
        <v>59</v>
      </c>
      <c r="G10" s="6" t="s">
        <v>40</v>
      </c>
      <c r="H10" t="s">
        <v>60</v>
      </c>
      <c r="I10" t="s">
        <v>61</v>
      </c>
      <c r="J10" t="s">
        <v>28</v>
      </c>
      <c r="K10" t="s">
        <v>62</v>
      </c>
      <c r="L10" s="5">
        <v>100</v>
      </c>
      <c r="M10" s="5">
        <f>Tableau1[[#This Row],[Prix Achat]]*Tableau4[marge benefice]</f>
        <v>200</v>
      </c>
      <c r="N10">
        <f>SUMIFS(Tableau3[Nombre],Tableau3[[Référence article ]],Tableau1[Ref Pneu],Tableau3[Type],"Entrée")-SUMIFS(Tableau3[Nombre],Tableau3[[Référence article ]],Tableau1[Ref Pneu],Tableau3[Type],"Sortie")</f>
        <v>450</v>
      </c>
      <c r="O10" s="17">
        <f>Tableau1[[#This Row],[Stock]]*Tableau1[[#This Row],[Prix Achat]]</f>
        <v>45000</v>
      </c>
      <c r="P10">
        <v>3</v>
      </c>
      <c r="Q10" s="12" t="str">
        <f t="shared" si="0"/>
        <v/>
      </c>
      <c r="R10" s="3" t="s">
        <v>21</v>
      </c>
    </row>
    <row r="11" spans="2:30" x14ac:dyDescent="0.25">
      <c r="B11" s="16" t="s">
        <v>49</v>
      </c>
      <c r="C11" t="s">
        <v>50</v>
      </c>
      <c r="D11" t="s">
        <v>51</v>
      </c>
      <c r="E11" t="s">
        <v>52</v>
      </c>
      <c r="F11" s="2" t="s">
        <v>33</v>
      </c>
      <c r="G11" s="6" t="s">
        <v>53</v>
      </c>
      <c r="H11" t="s">
        <v>54</v>
      </c>
      <c r="I11" t="s">
        <v>54</v>
      </c>
      <c r="J11" t="s">
        <v>55</v>
      </c>
      <c r="K11" t="s">
        <v>29</v>
      </c>
      <c r="L11" s="5">
        <v>38</v>
      </c>
      <c r="M11" s="5">
        <f>Tableau1[[#This Row],[Prix Achat]]*Tableau4[marge benefice]</f>
        <v>76</v>
      </c>
      <c r="N11">
        <f>SUMIFS(Tableau3[Nombre],Tableau3[[Référence article ]],Tableau1[Ref Pneu],Tableau3[Type],"Entrée")-SUMIFS(Tableau3[Nombre],Tableau3[[Référence article ]],Tableau1[Ref Pneu],Tableau3[Type],"Sortie")</f>
        <v>-15</v>
      </c>
      <c r="O11" s="17">
        <f>Tableau1[[#This Row],[Stock]]*Tableau1[[#This Row],[Prix Achat]]</f>
        <v>-570</v>
      </c>
      <c r="P11">
        <v>2</v>
      </c>
      <c r="Q11" s="12">
        <f t="shared" si="0"/>
        <v>1</v>
      </c>
      <c r="R11" s="3" t="s">
        <v>21</v>
      </c>
    </row>
  </sheetData>
  <conditionalFormatting sqref="T6:AD11">
    <cfRule type="expression" dxfId="11" priority="10">
      <formula>$B6&lt;&gt;""</formula>
    </cfRule>
  </conditionalFormatting>
  <conditionalFormatting sqref="T6:AC11">
    <cfRule type="expression" dxfId="10" priority="5">
      <formula>AND($B6&lt;&gt;"",$N6&lt;$P6,$N6&gt;=T$4)</formula>
    </cfRule>
    <cfRule type="expression" dxfId="9" priority="6">
      <formula>AND($B6&lt;&gt;"",$N6&gt;=$P6,$N6&gt;=T$4)</formula>
    </cfRule>
  </conditionalFormatting>
  <conditionalFormatting sqref="AD6:AD11">
    <cfRule type="expression" dxfId="8" priority="2">
      <formula>AND($B6&lt;&gt;"",$N6&lt;$P6,$N6&gt;$AC$4)</formula>
    </cfRule>
    <cfRule type="expression" dxfId="7" priority="4">
      <formula>AND($B6&lt;&gt;"",$N6&gt;=$P6,$N6&gt;$AC$4)</formula>
    </cfRule>
  </conditionalFormatting>
  <conditionalFormatting sqref="S6:S11">
    <cfRule type="expression" dxfId="6" priority="1">
      <formula>$B6&lt;&gt;""</formula>
    </cfRule>
  </conditionalFormatting>
  <dataValidations count="2">
    <dataValidation type="list" allowBlank="1" showInputMessage="1" showErrorMessage="1" sqref="R6:R11">
      <formula1>"Active,Inactive"</formula1>
    </dataValidation>
    <dataValidation type="list" allowBlank="1" showInputMessage="1" showErrorMessage="1" sqref="K6:K11">
      <formula1>"Oui,non"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028" r:id="rId4" name="CommandButton1">
          <controlPr autoLine="0" r:id="rId5">
            <anchor moveWithCells="1">
              <from>
                <xdr:col>1</xdr:col>
                <xdr:colOff>47625</xdr:colOff>
                <xdr:row>2</xdr:row>
                <xdr:rowOff>47625</xdr:rowOff>
              </from>
              <to>
                <xdr:col>2</xdr:col>
                <xdr:colOff>57150</xdr:colOff>
                <xdr:row>3</xdr:row>
                <xdr:rowOff>161925</xdr:rowOff>
              </to>
            </anchor>
          </controlPr>
        </control>
      </mc:Choice>
      <mc:Fallback>
        <control shapeId="1028" r:id="rId4" name="CommandButton1"/>
      </mc:Fallback>
    </mc:AlternateContent>
  </controls>
  <tableParts count="1">
    <tablePart r:id="rId6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59" id="{CC030DB8-EB37-4217-9E8F-3F732337D411}">
            <x14:iconSet custom="1">
              <x14:cfvo type="percent">
                <xm:f>0</xm:f>
              </x14:cfvo>
              <x14:cfvo type="num" gte="0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TrafficLights2" iconId="0"/>
            </x14:iconSet>
          </x14:cfRule>
          <xm:sqref>Q6:R11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4:W10"/>
  <sheetViews>
    <sheetView workbookViewId="0">
      <selection activeCell="G10" sqref="G10"/>
    </sheetView>
  </sheetViews>
  <sheetFormatPr baseColWidth="10" defaultRowHeight="15" x14ac:dyDescent="0.25"/>
  <cols>
    <col min="2" max="2" width="14.5703125" customWidth="1"/>
    <col min="3" max="3" width="19.28515625" customWidth="1"/>
    <col min="4" max="4" width="26.85546875" customWidth="1"/>
    <col min="5" max="5" width="14.28515625" customWidth="1"/>
    <col min="6" max="6" width="14.85546875" customWidth="1"/>
    <col min="7" max="7" width="14" customWidth="1"/>
    <col min="8" max="8" width="12.28515625" customWidth="1"/>
    <col min="9" max="9" width="10.140625" bestFit="1" customWidth="1"/>
    <col min="10" max="10" width="11.28515625" customWidth="1"/>
    <col min="11" max="11" width="10.42578125" customWidth="1"/>
    <col min="12" max="20" width="4.140625" customWidth="1"/>
    <col min="21" max="21" width="5.140625" customWidth="1"/>
    <col min="22" max="22" width="6.140625" customWidth="1"/>
  </cols>
  <sheetData>
    <row r="4" spans="2:23" x14ac:dyDescent="0.25">
      <c r="L4">
        <v>1</v>
      </c>
      <c r="M4">
        <v>2</v>
      </c>
      <c r="N4">
        <v>3</v>
      </c>
      <c r="O4">
        <v>4</v>
      </c>
      <c r="P4">
        <v>5</v>
      </c>
      <c r="Q4">
        <v>6</v>
      </c>
      <c r="R4">
        <v>7</v>
      </c>
      <c r="S4">
        <v>8</v>
      </c>
      <c r="T4">
        <v>9</v>
      </c>
      <c r="U4">
        <v>10</v>
      </c>
    </row>
    <row r="5" spans="2:23" x14ac:dyDescent="0.25">
      <c r="B5" s="8" t="s">
        <v>67</v>
      </c>
      <c r="C5" s="8" t="s">
        <v>68</v>
      </c>
      <c r="D5" s="8" t="s">
        <v>69</v>
      </c>
      <c r="E5" s="8" t="s">
        <v>81</v>
      </c>
      <c r="F5" s="8" t="s">
        <v>80</v>
      </c>
      <c r="G5" s="8" t="s">
        <v>4</v>
      </c>
      <c r="H5" s="8" t="s">
        <v>8</v>
      </c>
      <c r="I5" s="8" t="s">
        <v>70</v>
      </c>
      <c r="J5" s="8" t="s">
        <v>6</v>
      </c>
      <c r="K5" s="8" t="s">
        <v>20</v>
      </c>
      <c r="L5" s="9" t="s">
        <v>71</v>
      </c>
      <c r="M5" s="8" t="s">
        <v>9</v>
      </c>
      <c r="N5" s="8" t="s">
        <v>10</v>
      </c>
      <c r="O5" s="8" t="s">
        <v>11</v>
      </c>
      <c r="P5" s="8" t="s">
        <v>12</v>
      </c>
      <c r="Q5" s="8" t="s">
        <v>13</v>
      </c>
      <c r="R5" s="8" t="s">
        <v>14</v>
      </c>
      <c r="S5" s="8" t="s">
        <v>15</v>
      </c>
      <c r="T5" s="8" t="s">
        <v>16</v>
      </c>
      <c r="U5" s="8" t="s">
        <v>17</v>
      </c>
      <c r="V5" s="8" t="s">
        <v>18</v>
      </c>
      <c r="W5" s="8" t="s">
        <v>7</v>
      </c>
    </row>
    <row r="6" spans="2:23" x14ac:dyDescent="0.25">
      <c r="B6">
        <v>125</v>
      </c>
      <c r="E6" s="26">
        <v>15</v>
      </c>
      <c r="F6" s="26">
        <f>Tableau2[[#This Row],[Prix Achat]]*Tableau4[marge benefice]</f>
        <v>30</v>
      </c>
      <c r="G6" s="36">
        <f>SUMIFS(Tableau3[Nombre],Tableau3[[Référence article ]],Tableau2[Réf Article],Tableau3[Type],"Entrée")-SUMIFS(Tableau3[Nombre],Tableau3[[Référence article ]],Tableau2[Réf Article],Tableau3[Type],"Sortie")</f>
        <v>0</v>
      </c>
      <c r="H6" s="17">
        <f>Tableau2[[#This Row],[Prix Achat]]*Tableau2[[#This Row],[Stock]]</f>
        <v>0</v>
      </c>
      <c r="I6">
        <v>6</v>
      </c>
      <c r="J6" s="15">
        <f t="shared" ref="J6:J9" si="0">IF(G6&lt;I6,1,"")</f>
        <v>1</v>
      </c>
      <c r="K6" s="3" t="s">
        <v>21</v>
      </c>
    </row>
    <row r="7" spans="2:23" x14ac:dyDescent="0.25">
      <c r="B7" t="s">
        <v>72</v>
      </c>
      <c r="C7" t="s">
        <v>73</v>
      </c>
      <c r="D7" t="s">
        <v>74</v>
      </c>
      <c r="E7" s="26">
        <v>25</v>
      </c>
      <c r="F7" s="26">
        <f>Tableau2[[#This Row],[Prix Achat]]*Tableau4[marge benefice]</f>
        <v>50</v>
      </c>
      <c r="G7" s="36">
        <f>SUMIFS(Tableau3[Nombre],Tableau3[[Référence article ]],Tableau2[Réf Article],Tableau3[Type],"Entrée")-SUMIFS(Tableau3[Nombre],Tableau3[[Référence article ]],Tableau2[Réf Article],Tableau3[Type],"Sortie")</f>
        <v>75</v>
      </c>
      <c r="H7" s="17">
        <f>Tableau2[[#This Row],[Prix Achat]]*Tableau2[[#This Row],[Stock]]</f>
        <v>1875</v>
      </c>
      <c r="I7">
        <v>0</v>
      </c>
      <c r="J7" s="15" t="str">
        <f t="shared" si="0"/>
        <v/>
      </c>
      <c r="K7" s="3" t="s">
        <v>21</v>
      </c>
    </row>
    <row r="8" spans="2:23" x14ac:dyDescent="0.25">
      <c r="B8" t="s">
        <v>138</v>
      </c>
      <c r="C8" t="s">
        <v>75</v>
      </c>
      <c r="D8" t="s">
        <v>76</v>
      </c>
      <c r="E8" s="26">
        <v>366</v>
      </c>
      <c r="F8" s="26">
        <f>Tableau2[[#This Row],[Prix Achat]]*Tableau4[marge benefice]</f>
        <v>732</v>
      </c>
      <c r="G8" s="36">
        <f>SUMIFS(Tableau3[Nombre],Tableau3[[Référence article ]],Tableau2[Réf Article],Tableau3[Type],"Entrée")-SUMIFS(Tableau3[Nombre],Tableau3[[Référence article ]],Tableau2[Réf Article],Tableau3[Type],"Sortie")</f>
        <v>89</v>
      </c>
      <c r="H8" s="17">
        <f>Tableau2[[#This Row],[Prix Achat]]*Tableau2[[#This Row],[Stock]]</f>
        <v>32574</v>
      </c>
      <c r="I8">
        <v>2</v>
      </c>
      <c r="J8" s="15" t="str">
        <f t="shared" si="0"/>
        <v/>
      </c>
      <c r="K8" s="3" t="s">
        <v>21</v>
      </c>
    </row>
    <row r="9" spans="2:23" x14ac:dyDescent="0.25">
      <c r="B9" t="s">
        <v>82</v>
      </c>
      <c r="C9" t="s">
        <v>83</v>
      </c>
      <c r="D9" t="s">
        <v>84</v>
      </c>
      <c r="E9" s="26">
        <v>55</v>
      </c>
      <c r="F9" s="26">
        <f>Tableau2[[#This Row],[Prix Achat]]*Tableau4[marge benefice]</f>
        <v>110</v>
      </c>
      <c r="G9" s="36">
        <f>SUMIFS(Tableau3[Nombre],Tableau3[[Référence article ]],Tableau2[Réf Article],Tableau3[Type],"Entrée")-SUMIFS(Tableau3[Nombre],Tableau3[[Référence article ]],Tableau2[Réf Article],Tableau3[Type],"Sortie")</f>
        <v>0</v>
      </c>
      <c r="H9" s="17">
        <f>Tableau2[[#This Row],[Prix Achat]]*Tableau2[[#This Row],[Stock]]</f>
        <v>0</v>
      </c>
      <c r="I9">
        <v>0</v>
      </c>
      <c r="J9" s="15" t="str">
        <f t="shared" si="0"/>
        <v/>
      </c>
      <c r="K9" s="3" t="s">
        <v>21</v>
      </c>
    </row>
    <row r="10" spans="2:23" x14ac:dyDescent="0.25">
      <c r="B10" t="s">
        <v>107</v>
      </c>
      <c r="C10" t="s">
        <v>108</v>
      </c>
      <c r="D10" t="s">
        <v>109</v>
      </c>
      <c r="E10" s="26">
        <v>35</v>
      </c>
      <c r="F10" s="26">
        <f>Tableau2[[#This Row],[Prix Achat]]*Tableau4[marge benefice]</f>
        <v>70</v>
      </c>
      <c r="G10" s="36">
        <f>SUMIFS(Tableau3[Nombre],Tableau3[[Référence article ]],Tableau2[Réf Article],Tableau3[Type],"Entrée")-SUMIFS(Tableau3[Nombre],Tableau3[[Référence article ]],Tableau2[Réf Article],Tableau3[Type],"Sortie")</f>
        <v>30</v>
      </c>
      <c r="H10" s="17">
        <f>Tableau2[[#This Row],[Prix Achat]]*Tableau2[[#This Row],[Stock]]</f>
        <v>1050</v>
      </c>
      <c r="I10">
        <v>2</v>
      </c>
      <c r="J10" s="15" t="str">
        <f>IF(G10&lt;I10,1,"")</f>
        <v/>
      </c>
      <c r="K10" s="3" t="s">
        <v>21</v>
      </c>
    </row>
  </sheetData>
  <conditionalFormatting sqref="M6:W10">
    <cfRule type="expression" dxfId="5" priority="7">
      <formula>$B6&lt;&gt;""</formula>
    </cfRule>
  </conditionalFormatting>
  <conditionalFormatting sqref="L6:L10">
    <cfRule type="expression" dxfId="4" priority="1">
      <formula>$B6&lt;&gt;""</formula>
    </cfRule>
  </conditionalFormatting>
  <conditionalFormatting sqref="M6:V10">
    <cfRule type="expression" dxfId="3" priority="74">
      <formula>AND($B6&lt;&gt;"",$G6&lt;$I6,$G6&gt;=L$4)</formula>
    </cfRule>
    <cfRule type="expression" dxfId="2" priority="75">
      <formula>AND($B6&lt;&gt;"",$G6&gt;=$I6,$G6&gt;=L$4)</formula>
    </cfRule>
  </conditionalFormatting>
  <conditionalFormatting sqref="W6:W10">
    <cfRule type="expression" dxfId="1" priority="76">
      <formula>AND($B6&lt;&gt;"",$G6&lt;$I6,$G6&gt;$U$4)</formula>
    </cfRule>
    <cfRule type="expression" dxfId="0" priority="77">
      <formula>AND($B6&lt;&gt;"",$G6&gt;=$I6,$G6&gt;$U$4)</formula>
    </cfRule>
  </conditionalFormatting>
  <dataValidations count="1">
    <dataValidation type="list" allowBlank="1" showInputMessage="1" showErrorMessage="1" sqref="K6:K10">
      <formula1>"Active,Inactive"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2052" r:id="rId4" name="CommandButton2">
          <controlPr autoLine="0" r:id="rId5">
            <anchor moveWithCells="1">
              <from>
                <xdr:col>1</xdr:col>
                <xdr:colOff>0</xdr:colOff>
                <xdr:row>2</xdr:row>
                <xdr:rowOff>66675</xdr:rowOff>
              </from>
              <to>
                <xdr:col>2</xdr:col>
                <xdr:colOff>38100</xdr:colOff>
                <xdr:row>3</xdr:row>
                <xdr:rowOff>180975</xdr:rowOff>
              </to>
            </anchor>
          </controlPr>
        </control>
      </mc:Choice>
      <mc:Fallback>
        <control shapeId="2052" r:id="rId4" name="CommandButton2"/>
      </mc:Fallback>
    </mc:AlternateContent>
  </controls>
  <tableParts count="1">
    <tablePart r:id="rId6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73" id="{6FAD0783-2E2C-4717-A7CD-E70294F624E0}">
            <x14:iconSet custom="1">
              <x14:cfvo type="percent">
                <xm:f>0</xm:f>
              </x14:cfvo>
              <x14:cfvo type="num" gte="0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Flags" iconId="0"/>
            </x14:iconSet>
          </x14:cfRule>
          <xm:sqref>J6:K10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5:K5532"/>
  <sheetViews>
    <sheetView workbookViewId="0">
      <selection activeCell="B17" sqref="B17"/>
    </sheetView>
  </sheetViews>
  <sheetFormatPr baseColWidth="10" defaultRowHeight="15" x14ac:dyDescent="0.25"/>
  <cols>
    <col min="2" max="2" width="19.85546875" customWidth="1"/>
    <col min="3" max="3" width="17" customWidth="1"/>
    <col min="4" max="4" width="23.5703125" customWidth="1"/>
    <col min="5" max="5" width="22.7109375" customWidth="1"/>
    <col min="6" max="6" width="18" customWidth="1"/>
    <col min="7" max="7" width="32.42578125" customWidth="1"/>
    <col min="9" max="9" width="12.85546875" customWidth="1"/>
    <col min="10" max="10" width="13" customWidth="1"/>
  </cols>
  <sheetData>
    <row r="5" spans="2:11" x14ac:dyDescent="0.25">
      <c r="B5" s="7" t="s">
        <v>43</v>
      </c>
      <c r="C5" s="7" t="s">
        <v>44</v>
      </c>
      <c r="D5" s="7" t="s">
        <v>45</v>
      </c>
      <c r="E5" s="7" t="s">
        <v>46</v>
      </c>
      <c r="F5" s="7" t="s">
        <v>85</v>
      </c>
      <c r="G5" s="7" t="s">
        <v>86</v>
      </c>
      <c r="H5" s="7" t="s">
        <v>47</v>
      </c>
      <c r="I5" s="7" t="s">
        <v>81</v>
      </c>
      <c r="J5" s="7" t="s">
        <v>87</v>
      </c>
      <c r="K5" s="7" t="s">
        <v>48</v>
      </c>
    </row>
    <row r="6" spans="2:11" x14ac:dyDescent="0.25">
      <c r="B6" s="37">
        <v>14</v>
      </c>
      <c r="C6" s="7" t="s">
        <v>102</v>
      </c>
      <c r="D6" s="7">
        <v>4524</v>
      </c>
      <c r="E6" s="7" t="s">
        <v>56</v>
      </c>
      <c r="F6" s="7"/>
      <c r="G6" s="7"/>
      <c r="H6" s="7">
        <v>500</v>
      </c>
      <c r="I6" s="7"/>
      <c r="J6" s="7"/>
      <c r="K6" s="7" t="str">
        <f>IF(Tableau3[Type]="Sortie",COUNTIFS(Tableau3[Type],"Sortie",Tableau3[Nombre],"&gt;"&amp;Tableau3[[#This Row],[Nombre]])+1,"")</f>
        <v/>
      </c>
    </row>
    <row r="7" spans="2:11" x14ac:dyDescent="0.25">
      <c r="B7" s="37">
        <v>15</v>
      </c>
      <c r="C7" s="7" t="s">
        <v>100</v>
      </c>
      <c r="D7" s="7">
        <v>5456</v>
      </c>
      <c r="E7" s="7" t="s">
        <v>56</v>
      </c>
      <c r="F7" s="7"/>
      <c r="G7" s="7"/>
      <c r="H7" s="7">
        <v>50</v>
      </c>
      <c r="I7" s="7"/>
      <c r="J7" s="7"/>
      <c r="K7" s="27">
        <f>IF(Tableau3[Type]="Sortie",COUNTIFS(Tableau3[Type],"Sortie",Tableau3[Nombre],"&gt;"&amp;Tableau3[[#This Row],[Nombre]])+1,"")</f>
        <v>1</v>
      </c>
    </row>
    <row r="8" spans="2:11" x14ac:dyDescent="0.25">
      <c r="B8" s="37">
        <v>15</v>
      </c>
      <c r="C8" s="7" t="s">
        <v>102</v>
      </c>
      <c r="D8" s="7">
        <v>156156</v>
      </c>
      <c r="E8" s="7" t="s">
        <v>30</v>
      </c>
      <c r="F8" s="7"/>
      <c r="G8" s="7"/>
      <c r="H8" s="7">
        <v>25</v>
      </c>
      <c r="I8" s="7"/>
      <c r="J8" s="7"/>
      <c r="K8" s="27" t="str">
        <f>IF(Tableau3[Type]="Sortie",COUNTIFS(Tableau3[Type],"Sortie",Tableau3[Nombre],"&gt;"&amp;Tableau3[[#This Row],[Nombre]])+1,"")</f>
        <v/>
      </c>
    </row>
    <row r="9" spans="2:11" x14ac:dyDescent="0.25">
      <c r="B9" s="37">
        <v>15</v>
      </c>
      <c r="C9" s="7" t="s">
        <v>102</v>
      </c>
      <c r="D9" s="7">
        <v>15156156</v>
      </c>
      <c r="E9" s="7" t="s">
        <v>30</v>
      </c>
      <c r="F9" s="7"/>
      <c r="G9" s="7"/>
      <c r="H9" s="7">
        <v>50</v>
      </c>
      <c r="I9" s="7"/>
      <c r="J9" s="7"/>
      <c r="K9" s="27" t="str">
        <f>IF(Tableau3[Type]="Sortie",COUNTIFS(Tableau3[Type],"Sortie",Tableau3[Nombre],"&gt;"&amp;Tableau3[[#This Row],[Nombre]])+1,"")</f>
        <v/>
      </c>
    </row>
    <row r="10" spans="2:11" x14ac:dyDescent="0.25">
      <c r="B10" s="37">
        <v>15</v>
      </c>
      <c r="C10" s="7" t="s">
        <v>102</v>
      </c>
      <c r="D10" s="7">
        <v>156156</v>
      </c>
      <c r="E10" s="7">
        <v>12445</v>
      </c>
      <c r="F10" s="7"/>
      <c r="G10" s="7"/>
      <c r="H10" s="7">
        <v>100</v>
      </c>
      <c r="I10" s="7"/>
      <c r="J10" s="7"/>
      <c r="K10" s="27" t="str">
        <f>IF(Tableau3[Type]="Sortie",COUNTIFS(Tableau3[Type],"Sortie",Tableau3[Nombre],"&gt;"&amp;Tableau3[[#This Row],[Nombre]])+1,"")</f>
        <v/>
      </c>
    </row>
    <row r="11" spans="2:11" x14ac:dyDescent="0.25">
      <c r="B11" s="37">
        <v>15</v>
      </c>
      <c r="C11" s="7" t="s">
        <v>102</v>
      </c>
      <c r="D11" s="7"/>
      <c r="E11" s="7">
        <v>16516</v>
      </c>
      <c r="F11" s="7"/>
      <c r="G11" s="7"/>
      <c r="H11" s="7">
        <v>30</v>
      </c>
      <c r="I11" s="7"/>
      <c r="J11" s="7"/>
      <c r="K11" s="27" t="str">
        <f>IF(Tableau3[Type]="Sortie",COUNTIFS(Tableau3[Type],"Sortie",Tableau3[Nombre],"&gt;"&amp;Tableau3[[#This Row],[Nombre]])+1,"")</f>
        <v/>
      </c>
    </row>
    <row r="12" spans="2:11" x14ac:dyDescent="0.25">
      <c r="B12" s="37">
        <v>154</v>
      </c>
      <c r="C12" s="7" t="s">
        <v>102</v>
      </c>
      <c r="D12" s="7"/>
      <c r="E12" s="7">
        <v>123</v>
      </c>
      <c r="F12" s="7"/>
      <c r="G12" s="7"/>
      <c r="H12" s="7">
        <v>75</v>
      </c>
      <c r="I12" s="7"/>
      <c r="J12" s="7"/>
      <c r="K12" s="27" t="str">
        <f>IF(Tableau3[Type]="Sortie",COUNTIFS(Tableau3[Type],"Sortie",Tableau3[Nombre],"&gt;"&amp;Tableau3[[#This Row],[Nombre]])+1,"")</f>
        <v/>
      </c>
    </row>
    <row r="13" spans="2:11" x14ac:dyDescent="0.25">
      <c r="B13" s="37">
        <v>1546</v>
      </c>
      <c r="C13" s="7" t="s">
        <v>102</v>
      </c>
      <c r="D13" s="7"/>
      <c r="E13" s="7" t="s">
        <v>138</v>
      </c>
      <c r="F13" s="7"/>
      <c r="G13" s="7"/>
      <c r="H13" s="7">
        <v>89</v>
      </c>
      <c r="I13" s="7"/>
      <c r="J13" s="7"/>
      <c r="K13" s="27" t="str">
        <f>IF(Tableau3[Type]="Sortie",COUNTIFS(Tableau3[Type],"Sortie",Tableau3[Nombre],"&gt;"&amp;Tableau3[[#This Row],[Nombre]])+1,"")</f>
        <v/>
      </c>
    </row>
    <row r="14" spans="2:11" x14ac:dyDescent="0.25">
      <c r="B14" s="37">
        <v>25</v>
      </c>
      <c r="C14" s="7" t="s">
        <v>102</v>
      </c>
      <c r="D14" s="7"/>
      <c r="E14" s="7" t="s">
        <v>36</v>
      </c>
      <c r="F14" s="7"/>
      <c r="G14" s="7"/>
      <c r="H14" s="7">
        <v>69</v>
      </c>
      <c r="I14" s="7"/>
      <c r="J14" s="7"/>
      <c r="K14" s="27" t="str">
        <f>IF(Tableau3[Type]="Sortie",COUNTIFS(Tableau3[Type],"Sortie",Tableau3[Nombre],"&gt;"&amp;Tableau3[[#This Row],[Nombre]])+1,"")</f>
        <v/>
      </c>
    </row>
    <row r="15" spans="2:11" x14ac:dyDescent="0.25">
      <c r="B15" s="37">
        <v>26</v>
      </c>
      <c r="C15" s="7" t="s">
        <v>100</v>
      </c>
      <c r="D15" s="7"/>
      <c r="E15" s="7" t="s">
        <v>49</v>
      </c>
      <c r="F15" s="7"/>
      <c r="G15" s="7"/>
      <c r="H15" s="7">
        <v>10</v>
      </c>
      <c r="I15" s="7"/>
      <c r="J15" s="7"/>
      <c r="K15" s="27">
        <f>IF(Tableau3[Type]="Sortie",COUNTIFS(Tableau3[Type],"Sortie",Tableau3[Nombre],"&gt;"&amp;Tableau3[[#This Row],[Nombre]])+1,"")</f>
        <v>2</v>
      </c>
    </row>
    <row r="16" spans="2:11" x14ac:dyDescent="0.25">
      <c r="B16" s="37">
        <v>26</v>
      </c>
      <c r="C16" s="7" t="s">
        <v>100</v>
      </c>
      <c r="D16" s="7"/>
      <c r="E16" s="7" t="s">
        <v>49</v>
      </c>
      <c r="F16" s="7"/>
      <c r="G16" s="7"/>
      <c r="H16" s="7">
        <v>5</v>
      </c>
      <c r="I16" s="7"/>
      <c r="J16" s="7"/>
      <c r="K16" s="27">
        <f>IF(Tableau3[Type]="Sortie",COUNTIFS(Tableau3[Type],"Sortie",Tableau3[Nombre],"&gt;"&amp;Tableau3[[#This Row],[Nombre]])+1,"")</f>
        <v>3</v>
      </c>
    </row>
    <row r="5516" spans="2:9" x14ac:dyDescent="0.25">
      <c r="B5516" t="s">
        <v>91</v>
      </c>
      <c r="D5516" t="s">
        <v>92</v>
      </c>
      <c r="E5516">
        <v>12445</v>
      </c>
      <c r="F5516" t="s">
        <v>63</v>
      </c>
      <c r="G5516" t="s">
        <v>64</v>
      </c>
      <c r="H5516" s="5">
        <v>35</v>
      </c>
    </row>
    <row r="5517" spans="2:9" x14ac:dyDescent="0.25">
      <c r="B5517" t="s">
        <v>91</v>
      </c>
      <c r="D5517" t="s">
        <v>92</v>
      </c>
      <c r="E5517" t="s">
        <v>30</v>
      </c>
      <c r="F5517" t="s">
        <v>22</v>
      </c>
      <c r="G5517" t="s">
        <v>31</v>
      </c>
      <c r="H5517" s="5">
        <v>45</v>
      </c>
    </row>
    <row r="5518" spans="2:9" x14ac:dyDescent="0.25">
      <c r="B5518" t="s">
        <v>89</v>
      </c>
      <c r="D5518" t="s">
        <v>90</v>
      </c>
      <c r="E5518">
        <v>12445</v>
      </c>
      <c r="F5518" t="s">
        <v>63</v>
      </c>
      <c r="G5518" t="s">
        <v>64</v>
      </c>
      <c r="H5518" s="5">
        <v>35</v>
      </c>
    </row>
    <row r="5519" spans="2:9" x14ac:dyDescent="0.25">
      <c r="B5519" t="s">
        <v>97</v>
      </c>
      <c r="D5519" t="s">
        <v>98</v>
      </c>
      <c r="E5519" t="s">
        <v>36</v>
      </c>
      <c r="F5519" t="s">
        <v>22</v>
      </c>
      <c r="G5519" t="s">
        <v>23</v>
      </c>
      <c r="H5519" s="5">
        <v>35</v>
      </c>
    </row>
    <row r="5520" spans="2:9" x14ac:dyDescent="0.25">
      <c r="B5520" t="s">
        <v>88</v>
      </c>
      <c r="D5520" t="s">
        <v>96</v>
      </c>
      <c r="E5520" t="s">
        <v>30</v>
      </c>
      <c r="F5520" t="s">
        <v>22</v>
      </c>
      <c r="G5520" t="s">
        <v>31</v>
      </c>
      <c r="H5520" s="5">
        <v>4</v>
      </c>
      <c r="I5520">
        <v>45</v>
      </c>
    </row>
    <row r="5521" spans="2:9" x14ac:dyDescent="0.25">
      <c r="B5521" t="s">
        <v>88</v>
      </c>
      <c r="D5521" t="s">
        <v>95</v>
      </c>
      <c r="E5521" t="s">
        <v>56</v>
      </c>
      <c r="F5521" t="s">
        <v>37</v>
      </c>
      <c r="G5521" s="5">
        <v>100</v>
      </c>
      <c r="H5521" s="5" t="s">
        <v>57</v>
      </c>
    </row>
    <row r="5522" spans="2:9" x14ac:dyDescent="0.25">
      <c r="B5522" t="s">
        <v>88</v>
      </c>
      <c r="D5522" t="s">
        <v>95</v>
      </c>
      <c r="E5522" t="s">
        <v>36</v>
      </c>
      <c r="F5522" t="s">
        <v>22</v>
      </c>
      <c r="G5522" s="5">
        <v>35</v>
      </c>
      <c r="H5522" t="s">
        <v>23</v>
      </c>
    </row>
    <row r="5523" spans="2:9" x14ac:dyDescent="0.25">
      <c r="B5523" t="s">
        <v>88</v>
      </c>
      <c r="D5523" t="s">
        <v>94</v>
      </c>
      <c r="E5523">
        <v>654651</v>
      </c>
      <c r="F5523" t="s">
        <v>37</v>
      </c>
      <c r="G5523" t="s">
        <v>38</v>
      </c>
      <c r="H5523" s="5">
        <v>250</v>
      </c>
    </row>
    <row r="5524" spans="2:9" x14ac:dyDescent="0.25">
      <c r="B5524" t="s">
        <v>88</v>
      </c>
      <c r="D5524" t="s">
        <v>94</v>
      </c>
      <c r="E5524" t="s">
        <v>49</v>
      </c>
      <c r="F5524" t="s">
        <v>50</v>
      </c>
      <c r="G5524" t="s">
        <v>51</v>
      </c>
      <c r="H5524" s="5">
        <v>38</v>
      </c>
    </row>
    <row r="5525" spans="2:9" x14ac:dyDescent="0.25">
      <c r="B5525" t="s">
        <v>88</v>
      </c>
      <c r="D5525" t="s">
        <v>94</v>
      </c>
      <c r="E5525" t="s">
        <v>30</v>
      </c>
      <c r="F5525" t="s">
        <v>22</v>
      </c>
      <c r="G5525" t="s">
        <v>31</v>
      </c>
      <c r="H5525" s="5">
        <v>45</v>
      </c>
    </row>
    <row r="5526" spans="2:9" x14ac:dyDescent="0.25">
      <c r="B5526" t="s">
        <v>65</v>
      </c>
      <c r="D5526" t="s">
        <v>93</v>
      </c>
      <c r="E5526" t="s">
        <v>36</v>
      </c>
      <c r="F5526" t="s">
        <v>22</v>
      </c>
      <c r="G5526" t="s">
        <v>23</v>
      </c>
      <c r="H5526" s="5">
        <v>35</v>
      </c>
    </row>
    <row r="5529" spans="2:9" x14ac:dyDescent="0.25">
      <c r="B5529" t="s">
        <v>99</v>
      </c>
      <c r="C5529" t="s">
        <v>102</v>
      </c>
      <c r="D5529" t="s">
        <v>103</v>
      </c>
      <c r="E5529">
        <v>12445</v>
      </c>
      <c r="F5529" t="s">
        <v>63</v>
      </c>
      <c r="G5529" t="s">
        <v>64</v>
      </c>
      <c r="H5529">
        <v>1</v>
      </c>
      <c r="I5529">
        <v>35</v>
      </c>
    </row>
    <row r="5530" spans="2:9" x14ac:dyDescent="0.25">
      <c r="B5530" t="s">
        <v>99</v>
      </c>
      <c r="C5530" t="s">
        <v>100</v>
      </c>
      <c r="D5530" t="s">
        <v>101</v>
      </c>
      <c r="E5530" t="s">
        <v>30</v>
      </c>
      <c r="F5530" t="s">
        <v>22</v>
      </c>
      <c r="G5530" t="s">
        <v>31</v>
      </c>
      <c r="H5530">
        <v>4</v>
      </c>
      <c r="I5530">
        <v>45</v>
      </c>
    </row>
    <row r="5531" spans="2:9" x14ac:dyDescent="0.25">
      <c r="B5531" t="s">
        <v>54</v>
      </c>
      <c r="C5531" t="s">
        <v>106</v>
      </c>
      <c r="D5531" t="s">
        <v>54</v>
      </c>
      <c r="E5531" t="s">
        <v>30</v>
      </c>
      <c r="F5531" t="s">
        <v>22</v>
      </c>
      <c r="G5531" t="s">
        <v>31</v>
      </c>
      <c r="H5531">
        <v>4</v>
      </c>
      <c r="I5531">
        <v>45</v>
      </c>
    </row>
    <row r="5532" spans="2:9" x14ac:dyDescent="0.25">
      <c r="B5532" t="s">
        <v>99</v>
      </c>
      <c r="C5532" t="s">
        <v>100</v>
      </c>
      <c r="D5532" t="s">
        <v>105</v>
      </c>
      <c r="E5532">
        <v>12445</v>
      </c>
      <c r="F5532" t="s">
        <v>63</v>
      </c>
      <c r="G5532" t="s">
        <v>64</v>
      </c>
      <c r="H5532">
        <v>5</v>
      </c>
      <c r="I5532">
        <v>35</v>
      </c>
    </row>
  </sheetData>
  <dataValidations count="1">
    <dataValidation type="list" allowBlank="1" showInputMessage="1" showErrorMessage="1" sqref="C6:C16">
      <formula1>"Entrée,Sortie"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8" r:id="rId3" name="CommandButton2">
          <controlPr autoLine="0" r:id="rId4">
            <anchor moveWithCells="1">
              <from>
                <xdr:col>3</xdr:col>
                <xdr:colOff>333375</xdr:colOff>
                <xdr:row>2</xdr:row>
                <xdr:rowOff>66675</xdr:rowOff>
              </from>
              <to>
                <xdr:col>4</xdr:col>
                <xdr:colOff>1504950</xdr:colOff>
                <xdr:row>3</xdr:row>
                <xdr:rowOff>180975</xdr:rowOff>
              </to>
            </anchor>
          </controlPr>
        </control>
      </mc:Choice>
      <mc:Fallback>
        <control shapeId="4098" r:id="rId3" name="CommandButton2"/>
      </mc:Fallback>
    </mc:AlternateContent>
    <mc:AlternateContent xmlns:mc="http://schemas.openxmlformats.org/markup-compatibility/2006">
      <mc:Choice Requires="x14">
        <control shapeId="4097" r:id="rId5" name="CommandButton1">
          <controlPr autoLine="0" r:id="rId6">
            <anchor moveWithCells="1">
              <from>
                <xdr:col>0</xdr:col>
                <xdr:colOff>752475</xdr:colOff>
                <xdr:row>2</xdr:row>
                <xdr:rowOff>76200</xdr:rowOff>
              </from>
              <to>
                <xdr:col>3</xdr:col>
                <xdr:colOff>276225</xdr:colOff>
                <xdr:row>4</xdr:row>
                <xdr:rowOff>0</xdr:rowOff>
              </to>
            </anchor>
          </controlPr>
        </control>
      </mc:Choice>
      <mc:Fallback>
        <control shapeId="4097" r:id="rId5" name="CommandButton1"/>
      </mc:Fallback>
    </mc:AlternateContent>
  </controls>
  <tableParts count="1">
    <tablePart r:id="rId7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4:H21"/>
  <sheetViews>
    <sheetView workbookViewId="0">
      <selection activeCell="G21" sqref="G21"/>
    </sheetView>
  </sheetViews>
  <sheetFormatPr baseColWidth="10" defaultRowHeight="15" x14ac:dyDescent="0.25"/>
  <cols>
    <col min="2" max="2" width="24.5703125" customWidth="1"/>
    <col min="3" max="3" width="11.5703125" customWidth="1"/>
    <col min="4" max="4" width="19.7109375" customWidth="1"/>
  </cols>
  <sheetData>
    <row r="4" spans="2:8" x14ac:dyDescent="0.25">
      <c r="B4" s="18" t="s">
        <v>112</v>
      </c>
      <c r="C4" s="18" t="s">
        <v>110</v>
      </c>
      <c r="D4" s="18" t="s">
        <v>111</v>
      </c>
      <c r="E4" s="18"/>
    </row>
    <row r="5" spans="2:8" x14ac:dyDescent="0.25">
      <c r="B5" s="18">
        <v>2</v>
      </c>
      <c r="C5" s="18"/>
      <c r="D5" s="18"/>
      <c r="E5" s="18"/>
    </row>
    <row r="6" spans="2:8" x14ac:dyDescent="0.25">
      <c r="B6" s="19"/>
      <c r="C6" s="18"/>
      <c r="D6" s="19"/>
      <c r="E6" s="18"/>
    </row>
    <row r="7" spans="2:8" x14ac:dyDescent="0.25">
      <c r="B7" s="18"/>
      <c r="C7" s="18"/>
      <c r="D7" s="18"/>
      <c r="E7" s="18"/>
    </row>
    <row r="8" spans="2:8" ht="15.75" x14ac:dyDescent="0.25">
      <c r="B8" s="22" t="s">
        <v>115</v>
      </c>
      <c r="C8" s="22" t="s">
        <v>134</v>
      </c>
      <c r="D8" s="22"/>
      <c r="E8" s="18"/>
    </row>
    <row r="9" spans="2:8" x14ac:dyDescent="0.25">
      <c r="B9" s="14" t="s">
        <v>116</v>
      </c>
      <c r="C9" s="25" t="s">
        <v>123</v>
      </c>
      <c r="D9" s="25"/>
      <c r="E9" s="26">
        <f>SUM(Tableau1[Prix Achat])</f>
        <v>503</v>
      </c>
    </row>
    <row r="10" spans="2:8" x14ac:dyDescent="0.25">
      <c r="B10" s="21" t="s">
        <v>117</v>
      </c>
      <c r="C10" s="23" t="s">
        <v>121</v>
      </c>
      <c r="D10" s="24"/>
    </row>
    <row r="11" spans="2:8" x14ac:dyDescent="0.25">
      <c r="B11" s="14" t="s">
        <v>118</v>
      </c>
      <c r="C11" s="25" t="s">
        <v>124</v>
      </c>
      <c r="D11" s="25"/>
      <c r="E11">
        <f>COUNTIF(Tableau1[Status],"Active")</f>
        <v>6</v>
      </c>
    </row>
    <row r="12" spans="2:8" x14ac:dyDescent="0.25">
      <c r="B12" s="21" t="s">
        <v>119</v>
      </c>
      <c r="C12" s="23" t="s">
        <v>122</v>
      </c>
      <c r="D12" s="24"/>
      <c r="E12">
        <f>SUM(Tableau1[Stock])</f>
        <v>679</v>
      </c>
    </row>
    <row r="13" spans="2:8" x14ac:dyDescent="0.25">
      <c r="B13" s="14" t="s">
        <v>120</v>
      </c>
      <c r="C13" s="25" t="s">
        <v>125</v>
      </c>
      <c r="D13" s="25"/>
      <c r="E13" t="str">
        <f>IFERROR(INDEX(Tableau3[[Référence article ]],MATCH(1,Tableau3[Ranking],0)),"")</f>
        <v>gre</v>
      </c>
      <c r="F13" t="str">
        <f>IFERROR(INDEX(Tableau3[[Référence article ]],MATCH(2,Tableau3[Ranking],0)),"")</f>
        <v>conti564</v>
      </c>
      <c r="G13" t="str">
        <f>IFERROR(INDEX(Tableau3[[Référence article ]],MATCH(3,Tableau3[Ranking],0)),"")</f>
        <v>conti564</v>
      </c>
      <c r="H13" t="str">
        <f>IFERROR(INDEX(Tableau3[[Référence article ]],MATCH(4,Tableau3[Ranking],0)),"")</f>
        <v/>
      </c>
    </row>
    <row r="16" spans="2:8" ht="15.75" x14ac:dyDescent="0.25">
      <c r="B16" s="22" t="s">
        <v>115</v>
      </c>
      <c r="C16" s="22" t="s">
        <v>133</v>
      </c>
      <c r="D16" s="22"/>
      <c r="E16" s="18"/>
    </row>
    <row r="17" spans="2:7" x14ac:dyDescent="0.25">
      <c r="B17" s="14" t="s">
        <v>116</v>
      </c>
      <c r="C17" s="25" t="s">
        <v>135</v>
      </c>
      <c r="D17" s="25"/>
      <c r="E17" s="26">
        <f>SUM(Tableau2[Prix Achat])</f>
        <v>496</v>
      </c>
    </row>
    <row r="18" spans="2:7" x14ac:dyDescent="0.25">
      <c r="B18" s="21" t="s">
        <v>117</v>
      </c>
      <c r="C18" s="23" t="s">
        <v>121</v>
      </c>
      <c r="D18" s="24"/>
    </row>
    <row r="19" spans="2:7" x14ac:dyDescent="0.25">
      <c r="B19" s="14" t="s">
        <v>118</v>
      </c>
      <c r="C19" s="25" t="s">
        <v>136</v>
      </c>
      <c r="D19" s="25"/>
      <c r="E19">
        <f>COUNTIF(Tableau2[Status],"Active")</f>
        <v>5</v>
      </c>
    </row>
    <row r="20" spans="2:7" x14ac:dyDescent="0.25">
      <c r="B20" s="21" t="s">
        <v>119</v>
      </c>
      <c r="C20" s="23" t="s">
        <v>137</v>
      </c>
      <c r="D20" s="24"/>
      <c r="E20">
        <f>SUM(Tableau2[Stock])</f>
        <v>194</v>
      </c>
    </row>
    <row r="21" spans="2:7" x14ac:dyDescent="0.25">
      <c r="B21" s="14" t="s">
        <v>120</v>
      </c>
      <c r="C21" s="25" t="s">
        <v>125</v>
      </c>
      <c r="D21" s="25"/>
      <c r="E21" t="str">
        <f>IFERROR(INDEX(Tableau3[[Référence article ]],MATCH(1,Tableau3[Ranking],0)),"")</f>
        <v>gre</v>
      </c>
      <c r="F21" t="str">
        <f>IFERROR(INDEX(Tableau3[[Référence article ]],MATCH(2,Tableau3[Ranking],0)),"")</f>
        <v>conti564</v>
      </c>
      <c r="G21" t="str">
        <f>IFERROR(INDEX(Tableau3[[Référence article ]],MATCH(3,Tableau3[Ranking],0)),"")</f>
        <v>conti564</v>
      </c>
    </row>
  </sheetData>
  <mergeCells count="6">
    <mergeCell ref="C17:D17"/>
    <mergeCell ref="C19:D19"/>
    <mergeCell ref="C21:D21"/>
    <mergeCell ref="C9:D9"/>
    <mergeCell ref="C11:D11"/>
    <mergeCell ref="C13:D13"/>
  </mergeCells>
  <pageMargins left="0.7" right="0.7" top="0.75" bottom="0.75" header="0.3" footer="0.3"/>
  <pageSetup paperSize="9" orientation="portrait" horizont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Home</vt:lpstr>
      <vt:lpstr>Pneus</vt:lpstr>
      <vt:lpstr>Pièces</vt:lpstr>
      <vt:lpstr>Entrée - Sortie</vt:lpstr>
      <vt:lpstr>Config</vt:lpstr>
      <vt:lpstr>marge</vt:lpstr>
      <vt:lpstr>refarticle</vt:lpstr>
      <vt:lpstr>refpiece</vt:lpstr>
      <vt:lpstr>refpneu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willi4m</dc:creator>
  <cp:lastModifiedBy>William.antoine@outlook.com</cp:lastModifiedBy>
  <dcterms:created xsi:type="dcterms:W3CDTF">2018-10-12T18:25:51Z</dcterms:created>
  <dcterms:modified xsi:type="dcterms:W3CDTF">2018-10-18T20:43:42Z</dcterms:modified>
</cp:coreProperties>
</file>