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drawings/drawing3.xml" ContentType="application/vnd.openxmlformats-officedocument.drawing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drawings/drawing4.xml" ContentType="application/vnd.openxmlformats-officedocument.drawing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drawings/drawing5.xml" ContentType="application/vnd.openxmlformats-officedocument.drawing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xl/tables/table47.xml" ContentType="application/vnd.openxmlformats-officedocument.spreadsheetml.table+xml"/>
  <Override PartName="/xl/drawings/drawing6.xml" ContentType="application/vnd.openxmlformats-officedocument.drawing+xml"/>
  <Override PartName="/xl/tables/table48.xml" ContentType="application/vnd.openxmlformats-officedocument.spreadsheetml.table+xml"/>
  <Override PartName="/xl/tables/table49.xml" ContentType="application/vnd.openxmlformats-officedocument.spreadsheetml.table+xml"/>
  <Override PartName="/xl/tables/table50.xml" ContentType="application/vnd.openxmlformats-officedocument.spreadsheetml.table+xml"/>
  <Override PartName="/xl/tables/table51.xml" ContentType="application/vnd.openxmlformats-officedocument.spreadsheetml.table+xml"/>
  <Override PartName="/xl/drawings/drawing7.xml" ContentType="application/vnd.openxmlformats-officedocument.drawing+xml"/>
  <Override PartName="/xl/tables/table52.xml" ContentType="application/vnd.openxmlformats-officedocument.spreadsheetml.table+xml"/>
  <Override PartName="/xl/tables/table53.xml" ContentType="application/vnd.openxmlformats-officedocument.spreadsheetml.table+xml"/>
  <Override PartName="/xl/tables/table54.xml" ContentType="application/vnd.openxmlformats-officedocument.spreadsheetml.table+xml"/>
  <Override PartName="/xl/tables/table55.xml" ContentType="application/vnd.openxmlformats-officedocument.spreadsheetml.table+xml"/>
  <Override PartName="/xl/drawings/drawing8.xml" ContentType="application/vnd.openxmlformats-officedocument.drawing+xml"/>
  <Override PartName="/xl/tables/table56.xml" ContentType="application/vnd.openxmlformats-officedocument.spreadsheetml.table+xml"/>
  <Override PartName="/xl/tables/table57.xml" ContentType="application/vnd.openxmlformats-officedocument.spreadsheetml.table+xml"/>
  <Override PartName="/xl/tables/table58.xml" ContentType="application/vnd.openxmlformats-officedocument.spreadsheetml.table+xml"/>
  <Override PartName="/xl/tables/table59.xml" ContentType="application/vnd.openxmlformats-officedocument.spreadsheetml.table+xml"/>
  <Override PartName="/xl/drawings/drawing9.xml" ContentType="application/vnd.openxmlformats-officedocument.drawing+xml"/>
  <Override PartName="/xl/tables/table60.xml" ContentType="application/vnd.openxmlformats-officedocument.spreadsheetml.table+xml"/>
  <Override PartName="/xl/tables/table61.xml" ContentType="application/vnd.openxmlformats-officedocument.spreadsheetml.table+xml"/>
  <Override PartName="/xl/tables/table62.xml" ContentType="application/vnd.openxmlformats-officedocument.spreadsheetml.table+xml"/>
  <Override PartName="/xl/tables/table63.xml" ContentType="application/vnd.openxmlformats-officedocument.spreadsheetml.table+xml"/>
  <Override PartName="/xl/drawings/drawing10.xml" ContentType="application/vnd.openxmlformats-officedocument.drawing+xml"/>
  <Override PartName="/xl/tables/table64.xml" ContentType="application/vnd.openxmlformats-officedocument.spreadsheetml.table+xml"/>
  <Override PartName="/xl/tables/table65.xml" ContentType="application/vnd.openxmlformats-officedocument.spreadsheetml.table+xml"/>
  <Override PartName="/xl/tables/table66.xml" ContentType="application/vnd.openxmlformats-officedocument.spreadsheetml.table+xml"/>
  <Override PartName="/xl/tables/table67.xml" ContentType="application/vnd.openxmlformats-officedocument.spreadsheetml.table+xml"/>
  <Override PartName="/xl/drawings/drawing11.xml" ContentType="application/vnd.openxmlformats-officedocument.drawing+xml"/>
  <Override PartName="/xl/tables/table68.xml" ContentType="application/vnd.openxmlformats-officedocument.spreadsheetml.table+xml"/>
  <Override PartName="/xl/tables/table69.xml" ContentType="application/vnd.openxmlformats-officedocument.spreadsheetml.table+xml"/>
  <Override PartName="/xl/tables/table70.xml" ContentType="application/vnd.openxmlformats-officedocument.spreadsheetml.table+xml"/>
  <Override PartName="/xl/tables/table71.xml" ContentType="application/vnd.openxmlformats-officedocument.spreadsheetml.table+xml"/>
  <Override PartName="/xl/drawings/drawing12.xml" ContentType="application/vnd.openxmlformats-officedocument.drawing+xml"/>
  <Override PartName="/xl/tables/table72.xml" ContentType="application/vnd.openxmlformats-officedocument.spreadsheetml.table+xml"/>
  <Override PartName="/xl/tables/table73.xml" ContentType="application/vnd.openxmlformats-officedocument.spreadsheetml.table+xml"/>
  <Override PartName="/xl/tables/table74.xml" ContentType="application/vnd.openxmlformats-officedocument.spreadsheetml.table+xml"/>
  <Override PartName="/xl/tables/table75.xml" ContentType="application/vnd.openxmlformats-officedocument.spreadsheetml.table+xml"/>
  <Override PartName="/xl/drawings/drawing13.xml" ContentType="application/vnd.openxmlformats-officedocument.drawing+xml"/>
  <Override PartName="/xl/tables/table76.xml" ContentType="application/vnd.openxmlformats-officedocument.spreadsheetml.table+xml"/>
  <Override PartName="/xl/tables/table77.xml" ContentType="application/vnd.openxmlformats-officedocument.spreadsheetml.table+xml"/>
  <Override PartName="/xl/tables/table78.xml" ContentType="application/vnd.openxmlformats-officedocument.spreadsheetml.table+xml"/>
  <Override PartName="/xl/tables/table79.xml" ContentType="application/vnd.openxmlformats-officedocument.spreadsheetml.table+xml"/>
  <Override PartName="/xl/drawings/drawing14.xml" ContentType="application/vnd.openxmlformats-officedocument.drawing+xml"/>
  <Override PartName="/xl/tables/table80.xml" ContentType="application/vnd.openxmlformats-officedocument.spreadsheetml.table+xml"/>
  <Override PartName="/xl/tables/table81.xml" ContentType="application/vnd.openxmlformats-officedocument.spreadsheetml.table+xml"/>
  <Override PartName="/xl/tables/table82.xml" ContentType="application/vnd.openxmlformats-officedocument.spreadsheetml.table+xml"/>
  <Override PartName="/xl/tables/table83.xml" ContentType="application/vnd.openxmlformats-officedocument.spreadsheetml.table+xml"/>
  <Override PartName="/xl/drawings/drawing15.xml" ContentType="application/vnd.openxmlformats-officedocument.drawing+xml"/>
  <Override PartName="/xl/tables/table84.xml" ContentType="application/vnd.openxmlformats-officedocument.spreadsheetml.table+xml"/>
  <Override PartName="/xl/tables/table85.xml" ContentType="application/vnd.openxmlformats-officedocument.spreadsheetml.table+xml"/>
  <Override PartName="/xl/tables/table86.xml" ContentType="application/vnd.openxmlformats-officedocument.spreadsheetml.table+xml"/>
  <Override PartName="/xl/tables/table87.xml" ContentType="application/vnd.openxmlformats-officedocument.spreadsheetml.table+xml"/>
  <Override PartName="/xl/drawings/drawing16.xml" ContentType="application/vnd.openxmlformats-officedocument.drawing+xml"/>
  <Override PartName="/xl/tables/table88.xml" ContentType="application/vnd.openxmlformats-officedocument.spreadsheetml.table+xml"/>
  <Override PartName="/xl/tables/table89.xml" ContentType="application/vnd.openxmlformats-officedocument.spreadsheetml.table+xml"/>
  <Override PartName="/xl/tables/table90.xml" ContentType="application/vnd.openxmlformats-officedocument.spreadsheetml.table+xml"/>
  <Override PartName="/xl/tables/table91.xml" ContentType="application/vnd.openxmlformats-officedocument.spreadsheetml.table+xml"/>
  <Override PartName="/xl/drawings/drawing17.xml" ContentType="application/vnd.openxmlformats-officedocument.drawing+xml"/>
  <Override PartName="/xl/tables/table92.xml" ContentType="application/vnd.openxmlformats-officedocument.spreadsheetml.table+xml"/>
  <Override PartName="/xl/tables/table93.xml" ContentType="application/vnd.openxmlformats-officedocument.spreadsheetml.table+xml"/>
  <Override PartName="/xl/tables/table94.xml" ContentType="application/vnd.openxmlformats-officedocument.spreadsheetml.table+xml"/>
  <Override PartName="/xl/tables/table95.xml" ContentType="application/vnd.openxmlformats-officedocument.spreadsheetml.table+xml"/>
  <Override PartName="/xl/drawings/drawing18.xml" ContentType="application/vnd.openxmlformats-officedocument.drawing+xml"/>
  <Override PartName="/xl/tables/table96.xml" ContentType="application/vnd.openxmlformats-officedocument.spreadsheetml.table+xml"/>
  <Override PartName="/xl/tables/table97.xml" ContentType="application/vnd.openxmlformats-officedocument.spreadsheetml.table+xml"/>
  <Override PartName="/xl/tables/table98.xml" ContentType="application/vnd.openxmlformats-officedocument.spreadsheetml.table+xml"/>
  <Override PartName="/xl/tables/table99.xml" ContentType="application/vnd.openxmlformats-officedocument.spreadsheetml.table+xml"/>
  <Override PartName="/xl/drawings/drawing19.xml" ContentType="application/vnd.openxmlformats-officedocument.drawing+xml"/>
  <Override PartName="/xl/tables/table100.xml" ContentType="application/vnd.openxmlformats-officedocument.spreadsheetml.table+xml"/>
  <Override PartName="/xl/tables/table101.xml" ContentType="application/vnd.openxmlformats-officedocument.spreadsheetml.table+xml"/>
  <Override PartName="/xl/tables/table102.xml" ContentType="application/vnd.openxmlformats-officedocument.spreadsheetml.table+xml"/>
  <Override PartName="/xl/tables/table103.xml" ContentType="application/vnd.openxmlformats-officedocument.spreadsheetml.table+xml"/>
  <Override PartName="/xl/drawings/drawing20.xml" ContentType="application/vnd.openxmlformats-officedocument.drawing+xml"/>
  <Override PartName="/xl/tables/table104.xml" ContentType="application/vnd.openxmlformats-officedocument.spreadsheetml.table+xml"/>
  <Override PartName="/xl/tables/table105.xml" ContentType="application/vnd.openxmlformats-officedocument.spreadsheetml.table+xml"/>
  <Override PartName="/xl/tables/table106.xml" ContentType="application/vnd.openxmlformats-officedocument.spreadsheetml.table+xml"/>
  <Override PartName="/xl/tables/table107.xml" ContentType="application/vnd.openxmlformats-officedocument.spreadsheetml.table+xml"/>
  <Override PartName="/xl/drawings/drawing21.xml" ContentType="application/vnd.openxmlformats-officedocument.drawing+xml"/>
  <Override PartName="/xl/tables/table108.xml" ContentType="application/vnd.openxmlformats-officedocument.spreadsheetml.table+xml"/>
  <Override PartName="/xl/tables/table109.xml" ContentType="application/vnd.openxmlformats-officedocument.spreadsheetml.table+xml"/>
  <Override PartName="/xl/tables/table110.xml" ContentType="application/vnd.openxmlformats-officedocument.spreadsheetml.table+xml"/>
  <Override PartName="/xl/tables/table111.xml" ContentType="application/vnd.openxmlformats-officedocument.spreadsheetml.table+xml"/>
  <Override PartName="/xl/drawings/drawing22.xml" ContentType="application/vnd.openxmlformats-officedocument.drawing+xml"/>
  <Override PartName="/xl/tables/table112.xml" ContentType="application/vnd.openxmlformats-officedocument.spreadsheetml.table+xml"/>
  <Override PartName="/xl/tables/table113.xml" ContentType="application/vnd.openxmlformats-officedocument.spreadsheetml.table+xml"/>
  <Override PartName="/xl/tables/table114.xml" ContentType="application/vnd.openxmlformats-officedocument.spreadsheetml.table+xml"/>
  <Override PartName="/xl/tables/table115.xml" ContentType="application/vnd.openxmlformats-officedocument.spreadsheetml.table+xml"/>
  <Override PartName="/xl/drawings/drawing23.xml" ContentType="application/vnd.openxmlformats-officedocument.drawing+xml"/>
  <Override PartName="/xl/tables/table116.xml" ContentType="application/vnd.openxmlformats-officedocument.spreadsheetml.table+xml"/>
  <Override PartName="/xl/tables/table117.xml" ContentType="application/vnd.openxmlformats-officedocument.spreadsheetml.table+xml"/>
  <Override PartName="/xl/tables/table118.xml" ContentType="application/vnd.openxmlformats-officedocument.spreadsheetml.table+xml"/>
  <Override PartName="/xl/tables/table119.xml" ContentType="application/vnd.openxmlformats-officedocument.spreadsheetml.table+xml"/>
  <Override PartName="/xl/drawings/drawing24.xml" ContentType="application/vnd.openxmlformats-officedocument.drawing+xml"/>
  <Override PartName="/xl/tables/table120.xml" ContentType="application/vnd.openxmlformats-officedocument.spreadsheetml.table+xml"/>
  <Override PartName="/xl/tables/table121.xml" ContentType="application/vnd.openxmlformats-officedocument.spreadsheetml.table+xml"/>
  <Override PartName="/xl/tables/table122.xml" ContentType="application/vnd.openxmlformats-officedocument.spreadsheetml.table+xml"/>
  <Override PartName="/xl/tables/table123.xml" ContentType="application/vnd.openxmlformats-officedocument.spreadsheetml.table+xml"/>
  <Override PartName="/xl/drawings/drawing25.xml" ContentType="application/vnd.openxmlformats-officedocument.drawing+xml"/>
  <Override PartName="/xl/tables/table124.xml" ContentType="application/vnd.openxmlformats-officedocument.spreadsheetml.table+xml"/>
  <Override PartName="/xl/tables/table125.xml" ContentType="application/vnd.openxmlformats-officedocument.spreadsheetml.table+xml"/>
  <Override PartName="/xl/tables/table126.xml" ContentType="application/vnd.openxmlformats-officedocument.spreadsheetml.table+xml"/>
  <Override PartName="/xl/tables/table127.xml" ContentType="application/vnd.openxmlformats-officedocument.spreadsheetml.table+xml"/>
  <Override PartName="/xl/drawings/drawing26.xml" ContentType="application/vnd.openxmlformats-officedocument.drawing+xml"/>
  <Override PartName="/xl/tables/table128.xml" ContentType="application/vnd.openxmlformats-officedocument.spreadsheetml.table+xml"/>
  <Override PartName="/xl/tables/table129.xml" ContentType="application/vnd.openxmlformats-officedocument.spreadsheetml.table+xml"/>
  <Override PartName="/xl/tables/table130.xml" ContentType="application/vnd.openxmlformats-officedocument.spreadsheetml.table+xml"/>
  <Override PartName="/xl/tables/table131.xml" ContentType="application/vnd.openxmlformats-officedocument.spreadsheetml.table+xml"/>
  <Override PartName="/xl/drawings/drawing27.xml" ContentType="application/vnd.openxmlformats-officedocument.drawing+xml"/>
  <Override PartName="/xl/tables/table132.xml" ContentType="application/vnd.openxmlformats-officedocument.spreadsheetml.table+xml"/>
  <Override PartName="/xl/tables/table133.xml" ContentType="application/vnd.openxmlformats-officedocument.spreadsheetml.table+xml"/>
  <Override PartName="/xl/tables/table134.xml" ContentType="application/vnd.openxmlformats-officedocument.spreadsheetml.table+xml"/>
  <Override PartName="/xl/tables/table135.xml" ContentType="application/vnd.openxmlformats-officedocument.spreadsheetml.table+xml"/>
  <Override PartName="/xl/drawings/drawing28.xml" ContentType="application/vnd.openxmlformats-officedocument.drawing+xml"/>
  <Override PartName="/xl/tables/table136.xml" ContentType="application/vnd.openxmlformats-officedocument.spreadsheetml.table+xml"/>
  <Override PartName="/xl/tables/table137.xml" ContentType="application/vnd.openxmlformats-officedocument.spreadsheetml.table+xml"/>
  <Override PartName="/xl/tables/table138.xml" ContentType="application/vnd.openxmlformats-officedocument.spreadsheetml.table+xml"/>
  <Override PartName="/xl/tables/table139.xml" ContentType="application/vnd.openxmlformats-officedocument.spreadsheetml.table+xml"/>
  <Override PartName="/xl/drawings/drawing29.xml" ContentType="application/vnd.openxmlformats-officedocument.drawing+xml"/>
  <Override PartName="/xl/tables/table140.xml" ContentType="application/vnd.openxmlformats-officedocument.spreadsheetml.table+xml"/>
  <Override PartName="/xl/tables/table141.xml" ContentType="application/vnd.openxmlformats-officedocument.spreadsheetml.table+xml"/>
  <Override PartName="/xl/tables/table142.xml" ContentType="application/vnd.openxmlformats-officedocument.spreadsheetml.table+xml"/>
  <Override PartName="/xl/tables/table143.xml" ContentType="application/vnd.openxmlformats-officedocument.spreadsheetml.table+xml"/>
  <Override PartName="/xl/drawings/drawing30.xml" ContentType="application/vnd.openxmlformats-officedocument.drawing+xml"/>
  <Override PartName="/xl/tables/table144.xml" ContentType="application/vnd.openxmlformats-officedocument.spreadsheetml.table+xml"/>
  <Override PartName="/xl/tables/table145.xml" ContentType="application/vnd.openxmlformats-officedocument.spreadsheetml.table+xml"/>
  <Override PartName="/xl/tables/table146.xml" ContentType="application/vnd.openxmlformats-officedocument.spreadsheetml.table+xml"/>
  <Override PartName="/xl/tables/table147.xml" ContentType="application/vnd.openxmlformats-officedocument.spreadsheetml.table+xml"/>
  <Override PartName="/xl/drawings/drawing31.xml" ContentType="application/vnd.openxmlformats-officedocument.drawing+xml"/>
  <Override PartName="/xl/tables/table148.xml" ContentType="application/vnd.openxmlformats-officedocument.spreadsheetml.table+xml"/>
  <Override PartName="/xl/tables/table149.xml" ContentType="application/vnd.openxmlformats-officedocument.spreadsheetml.table+xml"/>
  <Override PartName="/xl/tables/table150.xml" ContentType="application/vnd.openxmlformats-officedocument.spreadsheetml.table+xml"/>
  <Override PartName="/xl/tables/table151.xml" ContentType="application/vnd.openxmlformats-officedocument.spreadsheetml.table+xml"/>
  <Override PartName="/xl/drawings/drawing32.xml" ContentType="application/vnd.openxmlformats-officedocument.drawing+xml"/>
  <Override PartName="/xl/tables/table152.xml" ContentType="application/vnd.openxmlformats-officedocument.spreadsheetml.table+xml"/>
  <Override PartName="/xl/tables/table153.xml" ContentType="application/vnd.openxmlformats-officedocument.spreadsheetml.table+xml"/>
  <Override PartName="/xl/tables/table154.xml" ContentType="application/vnd.openxmlformats-officedocument.spreadsheetml.table+xml"/>
  <Override PartName="/xl/tables/table15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0785" yWindow="0" windowWidth="10815" windowHeight="10110" tabRatio="954" firstSheet="1" activeTab="1"/>
  </bookViews>
  <sheets>
    <sheet name="AAA" sheetId="1" state="hidden" r:id="rId1"/>
    <sheet name="RECAP" sheetId="23" r:id="rId2"/>
    <sheet name="BATAILLE" sheetId="76" r:id="rId3"/>
    <sheet name="BECK-HUMMEL" sheetId="87" r:id="rId4"/>
    <sheet name="BREMENT" sheetId="80" r:id="rId5"/>
    <sheet name="BOUDISS" sheetId="88" r:id="rId6"/>
    <sheet name="BOUNYAVET" sheetId="68" r:id="rId7"/>
    <sheet name="DAVE" sheetId="69" r:id="rId8"/>
    <sheet name="DUSSART" sheetId="89" r:id="rId9"/>
    <sheet name="GAEHLER" sheetId="73" r:id="rId10"/>
    <sheet name="HACQUIN" sheetId="90" r:id="rId11"/>
    <sheet name="KEISER" sheetId="71" r:id="rId12"/>
    <sheet name="LAUTH-ROCH" sheetId="84" r:id="rId13"/>
    <sheet name="LAPORTE" sheetId="91" r:id="rId14"/>
    <sheet name="LEHMANN-VIXX" sheetId="72" r:id="rId15"/>
    <sheet name="MARTOS" sheetId="58" r:id="rId16"/>
    <sheet name="MEUNIER-SCHLEWITZ" sheetId="67" r:id="rId17"/>
    <sheet name="MICHEL-SCHWARTZ" sheetId="63" r:id="rId18"/>
    <sheet name="MOREAU" sheetId="53" r:id="rId19"/>
    <sheet name="NIESS" sheetId="78" r:id="rId20"/>
    <sheet name="OSTERTAG-RICHERT" sheetId="61" r:id="rId21"/>
    <sheet name="PECHEUR - RIPOL" sheetId="52" r:id="rId22"/>
    <sheet name="REPPERT" sheetId="70" r:id="rId23"/>
    <sheet name="ROMILLY" sheetId="66" r:id="rId24"/>
    <sheet name="ROSKIC" sheetId="77" r:id="rId25"/>
    <sheet name="SCHMITT" sheetId="74" r:id="rId26"/>
    <sheet name="SCHNEIDER-GOBERT" sheetId="86" r:id="rId27"/>
    <sheet name="TEDONE" sheetId="93" r:id="rId28"/>
    <sheet name="TRUNZER" sheetId="92" r:id="rId29"/>
    <sheet name="WETZEL" sheetId="64" r:id="rId30"/>
    <sheet name="WOOCK-HISLER" sheetId="56" r:id="rId31"/>
    <sheet name="ZYTO" sheetId="79" r:id="rId32"/>
    <sheet name="LISTE" sheetId="2" r:id="rId33"/>
    <sheet name="Frais de Métré" sheetId="81" r:id="rId34"/>
  </sheets>
  <definedNames>
    <definedName name="Avancement">LISTE!$B$2:$B$6</definedName>
    <definedName name="Commercial">LISTE!$B$57:$B$60</definedName>
    <definedName name="Entreprises">LISTE!$B$8:$B$54</definedName>
    <definedName name="listemail">RECAP!$D$7</definedName>
    <definedName name="mail">LISTE!$D$9:$D$54</definedName>
    <definedName name="_xlnm.Print_Area" localSheetId="0">AAA!$A$1:$I$65</definedName>
    <definedName name="_xlnm.Print_Area" localSheetId="2">BATAILLE!$A$1:$I$65</definedName>
    <definedName name="_xlnm.Print_Area" localSheetId="3">'BECK-HUMMEL'!$A$1:$I$65</definedName>
    <definedName name="_xlnm.Print_Area" localSheetId="5">BOUDISS!$A$1:$I$65</definedName>
    <definedName name="_xlnm.Print_Area" localSheetId="6">BOUNYAVET!$A$1:$I$65</definedName>
    <definedName name="_xlnm.Print_Area" localSheetId="4">BREMENT!$A$1:$I$65</definedName>
    <definedName name="_xlnm.Print_Area" localSheetId="7">DAVE!$A$1:$I$65</definedName>
    <definedName name="_xlnm.Print_Area" localSheetId="8">DUSSART!$A$1:$I$65</definedName>
    <definedName name="_xlnm.Print_Area" localSheetId="9">GAEHLER!$A$1:$I$65</definedName>
    <definedName name="_xlnm.Print_Area" localSheetId="10">HACQUIN!$A$1:$I$65</definedName>
    <definedName name="_xlnm.Print_Area" localSheetId="11">KEISER!$A$1:$I$65</definedName>
    <definedName name="_xlnm.Print_Area" localSheetId="13">LAPORTE!$A$1:$I$65</definedName>
    <definedName name="_xlnm.Print_Area" localSheetId="12">'LAUTH-ROCH'!$A$1:$I$65</definedName>
    <definedName name="_xlnm.Print_Area" localSheetId="14">'LEHMANN-VIXX'!$A$1:$I$65</definedName>
    <definedName name="_xlnm.Print_Area" localSheetId="15">MARTOS!$A$1:$I$65</definedName>
    <definedName name="_xlnm.Print_Area" localSheetId="16">'MEUNIER-SCHLEWITZ'!$A$1:$I$65</definedName>
    <definedName name="_xlnm.Print_Area" localSheetId="17">'MICHEL-SCHWARTZ'!$A$1:$I$65</definedName>
    <definedName name="_xlnm.Print_Area" localSheetId="18">MOREAU!$A$1:$I$65</definedName>
    <definedName name="_xlnm.Print_Area" localSheetId="19">NIESS!$A$1:$I$65</definedName>
    <definedName name="_xlnm.Print_Area" localSheetId="20">'OSTERTAG-RICHERT'!$A$1:$I$65</definedName>
    <definedName name="_xlnm.Print_Area" localSheetId="21">'PECHEUR - RIPOL'!$A$1:$I$65</definedName>
    <definedName name="_xlnm.Print_Area" localSheetId="1">RECAP!$A$1:$G$1394</definedName>
    <definedName name="_xlnm.Print_Area" localSheetId="22">REPPERT!$A$1:$I$65</definedName>
    <definedName name="_xlnm.Print_Area" localSheetId="23">ROMILLY!$A$1:$I$65</definedName>
    <definedName name="_xlnm.Print_Area" localSheetId="24">ROSKIC!$A$1:$I$65</definedName>
    <definedName name="_xlnm.Print_Area" localSheetId="25">SCHMITT!$A$1:$I$65</definedName>
    <definedName name="_xlnm.Print_Area" localSheetId="26">'SCHNEIDER-GOBERT'!$A$1:$I$65</definedName>
    <definedName name="_xlnm.Print_Area" localSheetId="27">TEDONE!$A$1:$I$65</definedName>
    <definedName name="_xlnm.Print_Area" localSheetId="28">TRUNZER!$A$1:$I$65</definedName>
    <definedName name="_xlnm.Print_Area" localSheetId="29">WETZEL!$A$1:$I$65</definedName>
    <definedName name="_xlnm.Print_Area" localSheetId="30">'WOOCK-HISLER'!$A$1:$I$65</definedName>
    <definedName name="_xlnm.Print_Area" localSheetId="31">ZYTO!$A$1:$I$65</definedName>
  </definedNames>
  <calcPr calcId="145621"/>
</workbook>
</file>

<file path=xl/calcChain.xml><?xml version="1.0" encoding="utf-8"?>
<calcChain xmlns="http://schemas.openxmlformats.org/spreadsheetml/2006/main">
  <c r="A51" i="88" l="1"/>
  <c r="B12" i="88"/>
  <c r="B12" i="70"/>
  <c r="B12" i="74"/>
  <c r="B12" i="79"/>
  <c r="B29" i="71"/>
  <c r="B21" i="78"/>
  <c r="B20" i="78"/>
  <c r="B20" i="77"/>
  <c r="B12" i="77"/>
  <c r="C1388" i="23"/>
  <c r="B1388" i="23"/>
  <c r="C1387" i="23"/>
  <c r="B1387" i="23"/>
  <c r="C1386" i="23"/>
  <c r="B1386" i="23"/>
  <c r="C1385" i="23"/>
  <c r="B1385" i="23"/>
  <c r="C1384" i="23"/>
  <c r="B1384" i="23"/>
  <c r="C1383" i="23"/>
  <c r="B1383" i="23"/>
  <c r="C1382" i="23"/>
  <c r="B1382" i="23"/>
  <c r="C1381" i="23"/>
  <c r="B1381" i="23"/>
  <c r="C1380" i="23"/>
  <c r="B1380" i="23"/>
  <c r="C1379" i="23"/>
  <c r="B1379" i="23"/>
  <c r="C1378" i="23"/>
  <c r="B1378" i="23"/>
  <c r="C1377" i="23"/>
  <c r="B1377" i="23"/>
  <c r="C1376" i="23"/>
  <c r="B1376" i="23"/>
  <c r="C1375" i="23"/>
  <c r="B1375" i="23"/>
  <c r="C1374" i="23"/>
  <c r="B1374" i="23"/>
  <c r="C1373" i="23"/>
  <c r="B1373" i="23"/>
  <c r="C1372" i="23"/>
  <c r="B1372" i="23"/>
  <c r="C1371" i="23"/>
  <c r="B1371" i="23"/>
  <c r="C1370" i="23"/>
  <c r="B1370" i="23"/>
  <c r="C1369" i="23"/>
  <c r="B1369" i="23"/>
  <c r="C1368" i="23"/>
  <c r="B1368" i="23"/>
  <c r="B1367" i="23"/>
  <c r="B1366" i="23"/>
  <c r="C1365" i="23"/>
  <c r="B1365" i="23"/>
  <c r="C1364" i="23"/>
  <c r="B1364" i="23"/>
  <c r="C1363" i="23"/>
  <c r="B1363" i="23"/>
  <c r="B1362" i="23"/>
  <c r="C1361" i="23"/>
  <c r="B1361" i="23"/>
  <c r="B1360" i="23"/>
  <c r="C1359" i="23"/>
  <c r="B1359" i="23"/>
  <c r="B1343" i="23"/>
  <c r="C1343" i="23"/>
  <c r="B1342" i="23"/>
  <c r="C1342" i="23"/>
  <c r="B23" i="73"/>
  <c r="A51" i="73"/>
  <c r="B51" i="73"/>
  <c r="C1314" i="23" l="1"/>
  <c r="C1315" i="23"/>
  <c r="C1316" i="23"/>
  <c r="C1317" i="23"/>
  <c r="C1318" i="23"/>
  <c r="C1319" i="23"/>
  <c r="C1320" i="23"/>
  <c r="C1321" i="23"/>
  <c r="C1322" i="23"/>
  <c r="C1323" i="23"/>
  <c r="C1324" i="23"/>
  <c r="C1325" i="23"/>
  <c r="C1326" i="23"/>
  <c r="C1327" i="23"/>
  <c r="C1328" i="23"/>
  <c r="C1329" i="23"/>
  <c r="C1330" i="23"/>
  <c r="C1331" i="23"/>
  <c r="C1332" i="23"/>
  <c r="C1333" i="23"/>
  <c r="C1334" i="23"/>
  <c r="C1335" i="23"/>
  <c r="C1336" i="23"/>
  <c r="C1337" i="23"/>
  <c r="C1338" i="23"/>
  <c r="C1339" i="23"/>
  <c r="C1340" i="23"/>
  <c r="C1341" i="23"/>
  <c r="B1314" i="23"/>
  <c r="B1315" i="23"/>
  <c r="B1316" i="23"/>
  <c r="B1317" i="23"/>
  <c r="B1318" i="23"/>
  <c r="B1319" i="23"/>
  <c r="B1320" i="23"/>
  <c r="B1321" i="23"/>
  <c r="B1322" i="23"/>
  <c r="B1323" i="23"/>
  <c r="B1324" i="23"/>
  <c r="B1325" i="23"/>
  <c r="B1326" i="23"/>
  <c r="B1327" i="23"/>
  <c r="B1328" i="23"/>
  <c r="B1329" i="23"/>
  <c r="B1330" i="23"/>
  <c r="B1331" i="23"/>
  <c r="B1332" i="23"/>
  <c r="B1333" i="23"/>
  <c r="B1334" i="23"/>
  <c r="B1335" i="23"/>
  <c r="B1336" i="23"/>
  <c r="B1337" i="23"/>
  <c r="B1338" i="23"/>
  <c r="B1339" i="23"/>
  <c r="B1340" i="23"/>
  <c r="B1341" i="23"/>
  <c r="B1269" i="23"/>
  <c r="B1270" i="23"/>
  <c r="B1271" i="23"/>
  <c r="B1272" i="23"/>
  <c r="B1273" i="23"/>
  <c r="B1274" i="23"/>
  <c r="B1275" i="23"/>
  <c r="B1276" i="23"/>
  <c r="B1277" i="23"/>
  <c r="B1278" i="23"/>
  <c r="B1279" i="23"/>
  <c r="B1280" i="23"/>
  <c r="B1281" i="23"/>
  <c r="B1282" i="23"/>
  <c r="B1283" i="23"/>
  <c r="B1284" i="23"/>
  <c r="B1285" i="23"/>
  <c r="B1286" i="23"/>
  <c r="B1287" i="23"/>
  <c r="B1288" i="23"/>
  <c r="B1289" i="23"/>
  <c r="B1290" i="23"/>
  <c r="B1291" i="23"/>
  <c r="B1292" i="23"/>
  <c r="B1293" i="23"/>
  <c r="B1294" i="23"/>
  <c r="B1295" i="23"/>
  <c r="B1296" i="23"/>
  <c r="B1297" i="23"/>
  <c r="B1298" i="23"/>
  <c r="B1224" i="23"/>
  <c r="B1225" i="23"/>
  <c r="B1226" i="23"/>
  <c r="B1227" i="23"/>
  <c r="B1228" i="23"/>
  <c r="B1229" i="23"/>
  <c r="B1230" i="23"/>
  <c r="B1231" i="23"/>
  <c r="B1232" i="23"/>
  <c r="B1233" i="23"/>
  <c r="B1234" i="23"/>
  <c r="B1235" i="23"/>
  <c r="B1236" i="23"/>
  <c r="B1237" i="23"/>
  <c r="B1238" i="23"/>
  <c r="B1239" i="23"/>
  <c r="B1240" i="23"/>
  <c r="B1241" i="23"/>
  <c r="B1242" i="23"/>
  <c r="B1243" i="23"/>
  <c r="B1244" i="23"/>
  <c r="B1245" i="23"/>
  <c r="B1246" i="23"/>
  <c r="B1247" i="23"/>
  <c r="B1248" i="23"/>
  <c r="B1249" i="23"/>
  <c r="B1250" i="23"/>
  <c r="B1251" i="23"/>
  <c r="B1252" i="23"/>
  <c r="B1253" i="23"/>
  <c r="B1179" i="23"/>
  <c r="B1180" i="23"/>
  <c r="B1181" i="23"/>
  <c r="B1182" i="23"/>
  <c r="B1183" i="23"/>
  <c r="B1184" i="23"/>
  <c r="B1185" i="23"/>
  <c r="B1186" i="23"/>
  <c r="B1187" i="23"/>
  <c r="B1188" i="23"/>
  <c r="B1189" i="23"/>
  <c r="B1190" i="23"/>
  <c r="B1191" i="23"/>
  <c r="B1192" i="23"/>
  <c r="B1193" i="23"/>
  <c r="B1194" i="23"/>
  <c r="B1195" i="23"/>
  <c r="B1196" i="23"/>
  <c r="B1197" i="23"/>
  <c r="B1198" i="23"/>
  <c r="B1199" i="23"/>
  <c r="B1200" i="23"/>
  <c r="B1201" i="23"/>
  <c r="B1202" i="23"/>
  <c r="B1203" i="23"/>
  <c r="B1204" i="23"/>
  <c r="B1205" i="23"/>
  <c r="B1206" i="23"/>
  <c r="B1207" i="23"/>
  <c r="B1208" i="23"/>
  <c r="B1134" i="23"/>
  <c r="B1135" i="23"/>
  <c r="B1136" i="23"/>
  <c r="B1137" i="23"/>
  <c r="B1138" i="23"/>
  <c r="B1139" i="23"/>
  <c r="B1140" i="23"/>
  <c r="B1141" i="23"/>
  <c r="B1142" i="23"/>
  <c r="B1143" i="23"/>
  <c r="B1144" i="23"/>
  <c r="B1145" i="23"/>
  <c r="B1146" i="23"/>
  <c r="B1147" i="23"/>
  <c r="B1148" i="23"/>
  <c r="B1149" i="23"/>
  <c r="B1150" i="23"/>
  <c r="B1151" i="23"/>
  <c r="B1152" i="23"/>
  <c r="B1153" i="23"/>
  <c r="B1154" i="23"/>
  <c r="B1155" i="23"/>
  <c r="B1156" i="23"/>
  <c r="B1157" i="23"/>
  <c r="B1158" i="23"/>
  <c r="B1159" i="23"/>
  <c r="B1160" i="23"/>
  <c r="B1161" i="23"/>
  <c r="B1162" i="23"/>
  <c r="B1163" i="23"/>
  <c r="B1089" i="23"/>
  <c r="B1090" i="23"/>
  <c r="B1091" i="23"/>
  <c r="B1092" i="23"/>
  <c r="B1093" i="23"/>
  <c r="B1094" i="23"/>
  <c r="B1095" i="23"/>
  <c r="B1096" i="23"/>
  <c r="B1097" i="23"/>
  <c r="B1098" i="23"/>
  <c r="B1099" i="23"/>
  <c r="B1100" i="23"/>
  <c r="B1101" i="23"/>
  <c r="B1102" i="23"/>
  <c r="B1103" i="23"/>
  <c r="B1104" i="23"/>
  <c r="B1105" i="23"/>
  <c r="B1106" i="23"/>
  <c r="B1107" i="23"/>
  <c r="B1108" i="23"/>
  <c r="B1109" i="23"/>
  <c r="B1110" i="23"/>
  <c r="B1111" i="23"/>
  <c r="B1112" i="23"/>
  <c r="B1113" i="23"/>
  <c r="B1114" i="23"/>
  <c r="B1115" i="23"/>
  <c r="B1116" i="23"/>
  <c r="B1117" i="23"/>
  <c r="B1118" i="23"/>
  <c r="B1044" i="23"/>
  <c r="B1045" i="23"/>
  <c r="B1046" i="23"/>
  <c r="B1047" i="23"/>
  <c r="B1048" i="23"/>
  <c r="B1049" i="23"/>
  <c r="B1050" i="23"/>
  <c r="B1051" i="23"/>
  <c r="B1052" i="23"/>
  <c r="B1053" i="23"/>
  <c r="B1054" i="23"/>
  <c r="B1055" i="23"/>
  <c r="B1056" i="23"/>
  <c r="B1057" i="23"/>
  <c r="B1058" i="23"/>
  <c r="B1059" i="23"/>
  <c r="B1060" i="23"/>
  <c r="B1061" i="23"/>
  <c r="B1062" i="23"/>
  <c r="B1063" i="23"/>
  <c r="B1064" i="23"/>
  <c r="B1065" i="23"/>
  <c r="B1066" i="23"/>
  <c r="B1067" i="23"/>
  <c r="B1068" i="23"/>
  <c r="B1069" i="23"/>
  <c r="B1070" i="23"/>
  <c r="B1071" i="23"/>
  <c r="B1072" i="23"/>
  <c r="B1073" i="23"/>
  <c r="B999" i="23"/>
  <c r="B1000" i="23"/>
  <c r="B1001" i="23"/>
  <c r="B1002" i="23"/>
  <c r="B1003" i="23"/>
  <c r="B1004" i="23"/>
  <c r="B1005" i="23"/>
  <c r="B1006" i="23"/>
  <c r="B1007" i="23"/>
  <c r="B1008" i="23"/>
  <c r="B1009" i="23"/>
  <c r="B1010" i="23"/>
  <c r="B1011" i="23"/>
  <c r="B1012" i="23"/>
  <c r="B1013" i="23"/>
  <c r="B1014" i="23"/>
  <c r="B1015" i="23"/>
  <c r="B1016" i="23"/>
  <c r="B1017" i="23"/>
  <c r="B1018" i="23"/>
  <c r="B1019" i="23"/>
  <c r="B1020" i="23"/>
  <c r="B1021" i="23"/>
  <c r="B1022" i="23"/>
  <c r="B1023" i="23"/>
  <c r="B1024" i="23"/>
  <c r="B1025" i="23"/>
  <c r="B1026" i="23"/>
  <c r="B1027" i="23"/>
  <c r="B1028" i="23"/>
  <c r="B954" i="23"/>
  <c r="B955" i="23"/>
  <c r="B956" i="23"/>
  <c r="B957" i="23"/>
  <c r="B958" i="23"/>
  <c r="B959" i="23"/>
  <c r="B960" i="23"/>
  <c r="B961" i="23"/>
  <c r="B962" i="23"/>
  <c r="B963" i="23"/>
  <c r="B964" i="23"/>
  <c r="B965" i="23"/>
  <c r="B966" i="23"/>
  <c r="B967" i="23"/>
  <c r="B968" i="23"/>
  <c r="B969" i="23"/>
  <c r="B970" i="23"/>
  <c r="B971" i="23"/>
  <c r="B972" i="23"/>
  <c r="B973" i="23"/>
  <c r="B974" i="23"/>
  <c r="B975" i="23"/>
  <c r="B976" i="23"/>
  <c r="B977" i="23"/>
  <c r="B978" i="23"/>
  <c r="B979" i="23"/>
  <c r="B980" i="23"/>
  <c r="B981" i="23"/>
  <c r="B982" i="23"/>
  <c r="B983" i="23"/>
  <c r="B909" i="23"/>
  <c r="B910" i="23"/>
  <c r="B911" i="23"/>
  <c r="B912" i="23"/>
  <c r="B913" i="23"/>
  <c r="B914" i="23"/>
  <c r="B915" i="23"/>
  <c r="B916" i="23"/>
  <c r="B917" i="23"/>
  <c r="B918" i="23"/>
  <c r="B919" i="23"/>
  <c r="B920" i="23"/>
  <c r="B921" i="23"/>
  <c r="B922" i="23"/>
  <c r="B923" i="23"/>
  <c r="B924" i="23"/>
  <c r="B925" i="23"/>
  <c r="B926" i="23"/>
  <c r="B927" i="23"/>
  <c r="B928" i="23"/>
  <c r="B929" i="23"/>
  <c r="B930" i="23"/>
  <c r="B931" i="23"/>
  <c r="B932" i="23"/>
  <c r="B933" i="23"/>
  <c r="B934" i="23"/>
  <c r="B935" i="23"/>
  <c r="B936" i="23"/>
  <c r="B937" i="23"/>
  <c r="B938" i="23"/>
  <c r="B864" i="23"/>
  <c r="B865" i="23"/>
  <c r="B866" i="23"/>
  <c r="B867" i="23"/>
  <c r="B868" i="23"/>
  <c r="B869" i="23"/>
  <c r="B870" i="23"/>
  <c r="B871" i="23"/>
  <c r="B872" i="23"/>
  <c r="B873" i="23"/>
  <c r="B874" i="23"/>
  <c r="B875" i="23"/>
  <c r="B876" i="23"/>
  <c r="B877" i="23"/>
  <c r="B878" i="23"/>
  <c r="B879" i="23"/>
  <c r="B880" i="23"/>
  <c r="B881" i="23"/>
  <c r="B882" i="23"/>
  <c r="B883" i="23"/>
  <c r="B884" i="23"/>
  <c r="B885" i="23"/>
  <c r="B886" i="23"/>
  <c r="B887" i="23"/>
  <c r="B888" i="23"/>
  <c r="B889" i="23"/>
  <c r="B890" i="23"/>
  <c r="B891" i="23"/>
  <c r="B892" i="23"/>
  <c r="B893" i="23"/>
  <c r="B819" i="23"/>
  <c r="B820" i="23"/>
  <c r="B821" i="23"/>
  <c r="B822" i="23"/>
  <c r="B823" i="23"/>
  <c r="B824" i="23"/>
  <c r="B825" i="23"/>
  <c r="B826" i="23"/>
  <c r="B827" i="23"/>
  <c r="B828" i="23"/>
  <c r="B829" i="23"/>
  <c r="B830" i="23"/>
  <c r="B831" i="23"/>
  <c r="B832" i="23"/>
  <c r="B833" i="23"/>
  <c r="B834" i="23"/>
  <c r="B835" i="23"/>
  <c r="B836" i="23"/>
  <c r="B837" i="23"/>
  <c r="B838" i="23"/>
  <c r="B839" i="23"/>
  <c r="B840" i="23"/>
  <c r="B841" i="23"/>
  <c r="B842" i="23"/>
  <c r="B843" i="23"/>
  <c r="B844" i="23"/>
  <c r="B845" i="23"/>
  <c r="B846" i="23"/>
  <c r="B847" i="23"/>
  <c r="B848" i="23"/>
  <c r="B774" i="23"/>
  <c r="B775" i="23"/>
  <c r="B776" i="23"/>
  <c r="B777" i="23"/>
  <c r="B778" i="23"/>
  <c r="B779" i="23"/>
  <c r="B780" i="23"/>
  <c r="B781" i="23"/>
  <c r="B782" i="23"/>
  <c r="B783" i="23"/>
  <c r="B784" i="23"/>
  <c r="B785" i="23"/>
  <c r="B786" i="23"/>
  <c r="B787" i="23"/>
  <c r="B788" i="23"/>
  <c r="B789" i="23"/>
  <c r="B790" i="23"/>
  <c r="B791" i="23"/>
  <c r="B792" i="23"/>
  <c r="B793" i="23"/>
  <c r="B794" i="23"/>
  <c r="B795" i="23"/>
  <c r="B796" i="23"/>
  <c r="B797" i="23"/>
  <c r="B798" i="23"/>
  <c r="B799" i="23"/>
  <c r="B800" i="23"/>
  <c r="B801" i="23"/>
  <c r="B802" i="23"/>
  <c r="B803" i="23"/>
  <c r="C729" i="23"/>
  <c r="C730" i="23"/>
  <c r="C731" i="23"/>
  <c r="C732" i="23"/>
  <c r="C733" i="23"/>
  <c r="C734" i="23"/>
  <c r="C735" i="23"/>
  <c r="C736" i="23"/>
  <c r="C737" i="23"/>
  <c r="C738" i="23"/>
  <c r="C739" i="23"/>
  <c r="C740" i="23"/>
  <c r="C741" i="23"/>
  <c r="C742" i="23"/>
  <c r="C743" i="23"/>
  <c r="C744" i="23"/>
  <c r="C745" i="23"/>
  <c r="C746" i="23"/>
  <c r="C747" i="23"/>
  <c r="C748" i="23"/>
  <c r="C749" i="23"/>
  <c r="C750" i="23"/>
  <c r="C751" i="23"/>
  <c r="C752" i="23"/>
  <c r="C753" i="23"/>
  <c r="C754" i="23"/>
  <c r="C755" i="23"/>
  <c r="C756" i="23"/>
  <c r="C757" i="23"/>
  <c r="C802" i="23" s="1"/>
  <c r="C847" i="23" s="1"/>
  <c r="C892" i="23" s="1"/>
  <c r="C937" i="23" s="1"/>
  <c r="C982" i="23" s="1"/>
  <c r="C1027" i="23" s="1"/>
  <c r="C1072" i="23" s="1"/>
  <c r="C1117" i="23" s="1"/>
  <c r="C1162" i="23" s="1"/>
  <c r="C1207" i="23" s="1"/>
  <c r="C1252" i="23" s="1"/>
  <c r="C1297" i="23" s="1"/>
  <c r="C758" i="23"/>
  <c r="B729" i="23"/>
  <c r="B730" i="23"/>
  <c r="B731" i="23"/>
  <c r="B732" i="23"/>
  <c r="B733" i="23"/>
  <c r="B734" i="23"/>
  <c r="B735" i="23"/>
  <c r="B736" i="23"/>
  <c r="B737" i="23"/>
  <c r="B738" i="23"/>
  <c r="B739" i="23"/>
  <c r="B740" i="23"/>
  <c r="B741" i="23"/>
  <c r="B742" i="23"/>
  <c r="B743" i="23"/>
  <c r="B744" i="23"/>
  <c r="B745" i="23"/>
  <c r="B746" i="23"/>
  <c r="B747" i="23"/>
  <c r="B748" i="23"/>
  <c r="B749" i="23"/>
  <c r="B750" i="23"/>
  <c r="B751" i="23"/>
  <c r="B752" i="23"/>
  <c r="B753" i="23"/>
  <c r="B754" i="23"/>
  <c r="B755" i="23"/>
  <c r="B756" i="23"/>
  <c r="B757" i="23"/>
  <c r="B758" i="23"/>
  <c r="B684" i="23"/>
  <c r="B685" i="23"/>
  <c r="B686" i="23"/>
  <c r="B687" i="23"/>
  <c r="B688" i="23"/>
  <c r="B689" i="23"/>
  <c r="B690" i="23"/>
  <c r="B691" i="23"/>
  <c r="B692" i="23"/>
  <c r="B693" i="23"/>
  <c r="B694" i="23"/>
  <c r="B695" i="23"/>
  <c r="B696" i="23"/>
  <c r="B697" i="23"/>
  <c r="B698" i="23"/>
  <c r="B699" i="23"/>
  <c r="B700" i="23"/>
  <c r="B701" i="23"/>
  <c r="B702" i="23"/>
  <c r="B703" i="23"/>
  <c r="B704" i="23"/>
  <c r="B705" i="23"/>
  <c r="B706" i="23"/>
  <c r="B707" i="23"/>
  <c r="B708" i="23"/>
  <c r="B709" i="23"/>
  <c r="B710" i="23"/>
  <c r="B711" i="23"/>
  <c r="B712" i="23"/>
  <c r="B713" i="23"/>
  <c r="B639" i="23"/>
  <c r="B640" i="23"/>
  <c r="B641" i="23"/>
  <c r="B642" i="23"/>
  <c r="B643" i="23"/>
  <c r="B644" i="23"/>
  <c r="B645" i="23"/>
  <c r="B646" i="23"/>
  <c r="B647" i="23"/>
  <c r="B648" i="23"/>
  <c r="B649" i="23"/>
  <c r="B650" i="23"/>
  <c r="B651" i="23"/>
  <c r="B652" i="23"/>
  <c r="B653" i="23"/>
  <c r="B654" i="23"/>
  <c r="B655" i="23"/>
  <c r="B656" i="23"/>
  <c r="B657" i="23"/>
  <c r="B658" i="23"/>
  <c r="B659" i="23"/>
  <c r="B660" i="23"/>
  <c r="B661" i="23"/>
  <c r="B662" i="23"/>
  <c r="B663" i="23"/>
  <c r="B664" i="23"/>
  <c r="B665" i="23"/>
  <c r="B666" i="23"/>
  <c r="B667" i="23"/>
  <c r="B668" i="23"/>
  <c r="B594" i="23"/>
  <c r="B595" i="23"/>
  <c r="B596" i="23"/>
  <c r="B597" i="23"/>
  <c r="B598" i="23"/>
  <c r="B599" i="23"/>
  <c r="B600" i="23"/>
  <c r="B601" i="23"/>
  <c r="B602" i="23"/>
  <c r="B603" i="23"/>
  <c r="B604" i="23"/>
  <c r="B605" i="23"/>
  <c r="B606" i="23"/>
  <c r="B607" i="23"/>
  <c r="B608" i="23"/>
  <c r="B609" i="23"/>
  <c r="B610" i="23"/>
  <c r="B611" i="23"/>
  <c r="B612" i="23"/>
  <c r="B613" i="23"/>
  <c r="B614" i="23"/>
  <c r="B615" i="23"/>
  <c r="B616" i="23"/>
  <c r="B617" i="23"/>
  <c r="B618" i="23"/>
  <c r="B619" i="23"/>
  <c r="B620" i="23"/>
  <c r="B621" i="23"/>
  <c r="B622" i="23"/>
  <c r="B623" i="23"/>
  <c r="B549" i="23"/>
  <c r="B550" i="23"/>
  <c r="B551" i="23"/>
  <c r="B552" i="23"/>
  <c r="B553" i="23"/>
  <c r="B554" i="23"/>
  <c r="B555" i="23"/>
  <c r="B556" i="23"/>
  <c r="B557" i="23"/>
  <c r="B558" i="23"/>
  <c r="B559" i="23"/>
  <c r="B560" i="23"/>
  <c r="B561" i="23"/>
  <c r="B562" i="23"/>
  <c r="B563" i="23"/>
  <c r="B564" i="23"/>
  <c r="B565" i="23"/>
  <c r="B566" i="23"/>
  <c r="B567" i="23"/>
  <c r="B568" i="23"/>
  <c r="B569" i="23"/>
  <c r="B570" i="23"/>
  <c r="B571" i="23"/>
  <c r="B572" i="23"/>
  <c r="B573" i="23"/>
  <c r="B574" i="23"/>
  <c r="B575" i="23"/>
  <c r="B576" i="23"/>
  <c r="B577" i="23"/>
  <c r="B578" i="23"/>
  <c r="B504" i="23"/>
  <c r="B505" i="23"/>
  <c r="B506" i="23"/>
  <c r="B507" i="23"/>
  <c r="B508" i="23"/>
  <c r="B509" i="23"/>
  <c r="B510" i="23"/>
  <c r="B511" i="23"/>
  <c r="B512" i="23"/>
  <c r="B513" i="23"/>
  <c r="B514" i="23"/>
  <c r="B515" i="23"/>
  <c r="B516" i="23"/>
  <c r="B517" i="23"/>
  <c r="B518" i="23"/>
  <c r="B519" i="23"/>
  <c r="B520" i="23"/>
  <c r="B521" i="23"/>
  <c r="B522" i="23"/>
  <c r="B523" i="23"/>
  <c r="B524" i="23"/>
  <c r="B525" i="23"/>
  <c r="B526" i="23"/>
  <c r="B527" i="23"/>
  <c r="B528" i="23"/>
  <c r="B529" i="23"/>
  <c r="B530" i="23"/>
  <c r="B531" i="23"/>
  <c r="B532" i="23"/>
  <c r="B533" i="23"/>
  <c r="B459" i="23"/>
  <c r="B460" i="23"/>
  <c r="B461" i="23"/>
  <c r="B462" i="23"/>
  <c r="B463" i="23"/>
  <c r="B464" i="23"/>
  <c r="B465" i="23"/>
  <c r="B466" i="23"/>
  <c r="B467" i="23"/>
  <c r="B468" i="23"/>
  <c r="B469" i="23"/>
  <c r="B470" i="23"/>
  <c r="B471" i="23"/>
  <c r="B472" i="23"/>
  <c r="B473" i="23"/>
  <c r="B474" i="23"/>
  <c r="B475" i="23"/>
  <c r="B476" i="23"/>
  <c r="B477" i="23"/>
  <c r="B478" i="23"/>
  <c r="B479" i="23"/>
  <c r="B480" i="23"/>
  <c r="B481" i="23"/>
  <c r="B482" i="23"/>
  <c r="B483" i="23"/>
  <c r="B484" i="23"/>
  <c r="B485" i="23"/>
  <c r="B486" i="23"/>
  <c r="B487" i="23"/>
  <c r="B488" i="23"/>
  <c r="B414" i="23"/>
  <c r="B415" i="23"/>
  <c r="B416" i="23"/>
  <c r="B417" i="23"/>
  <c r="B418" i="23"/>
  <c r="B419" i="23"/>
  <c r="B420" i="23"/>
  <c r="B421" i="23"/>
  <c r="B422" i="23"/>
  <c r="B423" i="23"/>
  <c r="B424" i="23"/>
  <c r="B425" i="23"/>
  <c r="B426" i="23"/>
  <c r="B427" i="23"/>
  <c r="B428" i="23"/>
  <c r="B429" i="23"/>
  <c r="B430" i="23"/>
  <c r="B431" i="23"/>
  <c r="B432" i="23"/>
  <c r="B433" i="23"/>
  <c r="B434" i="23"/>
  <c r="B435" i="23"/>
  <c r="B436" i="23"/>
  <c r="B437" i="23"/>
  <c r="B438" i="23"/>
  <c r="B439" i="23"/>
  <c r="B440" i="23"/>
  <c r="B441" i="23"/>
  <c r="B442" i="23"/>
  <c r="B443" i="23"/>
  <c r="C234" i="23"/>
  <c r="C235" i="23"/>
  <c r="C236" i="23"/>
  <c r="C237" i="23"/>
  <c r="C238" i="23"/>
  <c r="C239" i="23"/>
  <c r="C240" i="23"/>
  <c r="C241" i="23"/>
  <c r="C242" i="23"/>
  <c r="C243" i="23"/>
  <c r="C244" i="23"/>
  <c r="C245" i="23"/>
  <c r="C246" i="23"/>
  <c r="C247" i="23"/>
  <c r="C248" i="23"/>
  <c r="C249" i="23"/>
  <c r="C250" i="23"/>
  <c r="C251" i="23"/>
  <c r="C252" i="23"/>
  <c r="C253" i="23"/>
  <c r="C254" i="23"/>
  <c r="C255" i="23"/>
  <c r="C256" i="23"/>
  <c r="C257" i="23"/>
  <c r="C258" i="23"/>
  <c r="C259" i="23"/>
  <c r="C260" i="23"/>
  <c r="C261" i="23"/>
  <c r="C262" i="23"/>
  <c r="C263" i="23"/>
  <c r="C308" i="23" s="1"/>
  <c r="C353" i="23" s="1"/>
  <c r="C398" i="23" s="1"/>
  <c r="C443" i="23" s="1"/>
  <c r="C488" i="23" s="1"/>
  <c r="C533" i="23" s="1"/>
  <c r="C578" i="23" s="1"/>
  <c r="C623" i="23" s="1"/>
  <c r="C668" i="23" s="1"/>
  <c r="C713" i="23" s="1"/>
  <c r="C189" i="23"/>
  <c r="C190" i="23"/>
  <c r="C191" i="23"/>
  <c r="C192" i="23"/>
  <c r="C193" i="23"/>
  <c r="C194" i="23"/>
  <c r="C195" i="23"/>
  <c r="C196" i="23"/>
  <c r="C197" i="23"/>
  <c r="C198" i="23"/>
  <c r="C199" i="23"/>
  <c r="C200" i="23"/>
  <c r="C201" i="23"/>
  <c r="C202" i="23"/>
  <c r="C203" i="23"/>
  <c r="C204" i="23"/>
  <c r="C205" i="23"/>
  <c r="C206" i="23"/>
  <c r="C207" i="23"/>
  <c r="C208" i="23"/>
  <c r="C209" i="23"/>
  <c r="C210" i="23"/>
  <c r="C211" i="23"/>
  <c r="C212" i="23"/>
  <c r="C213" i="23"/>
  <c r="C214" i="23"/>
  <c r="C215" i="23"/>
  <c r="C216" i="23"/>
  <c r="C217" i="23"/>
  <c r="C218" i="23"/>
  <c r="C145" i="23"/>
  <c r="C146" i="23"/>
  <c r="C147" i="23"/>
  <c r="C148" i="23"/>
  <c r="C149" i="23"/>
  <c r="C150" i="23"/>
  <c r="C151" i="23"/>
  <c r="C152" i="23"/>
  <c r="C153" i="23"/>
  <c r="C154" i="23"/>
  <c r="C155" i="23"/>
  <c r="C156" i="23"/>
  <c r="C157" i="23"/>
  <c r="C158" i="23"/>
  <c r="C159" i="23"/>
  <c r="C160" i="23"/>
  <c r="C161" i="23"/>
  <c r="C162" i="23"/>
  <c r="C163" i="23"/>
  <c r="C164" i="23"/>
  <c r="C165" i="23"/>
  <c r="C166" i="23"/>
  <c r="C167" i="23"/>
  <c r="C168" i="23"/>
  <c r="C169" i="23"/>
  <c r="C170" i="23"/>
  <c r="C171" i="23"/>
  <c r="C172" i="23"/>
  <c r="C173" i="23"/>
  <c r="C174" i="23"/>
  <c r="C100" i="23"/>
  <c r="C101" i="23"/>
  <c r="C102" i="23"/>
  <c r="C103" i="23"/>
  <c r="C104" i="23"/>
  <c r="C105" i="23"/>
  <c r="C106" i="23"/>
  <c r="C107" i="23"/>
  <c r="C108" i="23"/>
  <c r="C109" i="23"/>
  <c r="C110" i="23"/>
  <c r="C111" i="23"/>
  <c r="C112" i="23"/>
  <c r="C113" i="23"/>
  <c r="C114" i="23"/>
  <c r="C115" i="23"/>
  <c r="C116" i="23"/>
  <c r="C117" i="23"/>
  <c r="C118" i="23"/>
  <c r="C119" i="23"/>
  <c r="C120" i="23"/>
  <c r="C121" i="23"/>
  <c r="C122" i="23"/>
  <c r="C123" i="23"/>
  <c r="C124" i="23"/>
  <c r="C125" i="23"/>
  <c r="C126" i="23"/>
  <c r="C127" i="23"/>
  <c r="C128" i="23"/>
  <c r="C129" i="23"/>
  <c r="C55" i="23"/>
  <c r="C56" i="23"/>
  <c r="C1360" i="23" s="1"/>
  <c r="C57" i="23"/>
  <c r="C58" i="23"/>
  <c r="C1362" i="23" s="1"/>
  <c r="C59" i="23"/>
  <c r="C60" i="23"/>
  <c r="C61" i="23"/>
  <c r="C62" i="23"/>
  <c r="C1366" i="23" s="1"/>
  <c r="C63" i="23"/>
  <c r="C1367" i="23" s="1"/>
  <c r="C64" i="23"/>
  <c r="C65" i="23"/>
  <c r="C66" i="23"/>
  <c r="C67" i="23"/>
  <c r="C68" i="23"/>
  <c r="C69" i="23"/>
  <c r="C70" i="23"/>
  <c r="C71" i="23"/>
  <c r="C72" i="23"/>
  <c r="C73" i="23"/>
  <c r="C74" i="23"/>
  <c r="C75" i="23"/>
  <c r="C76" i="23"/>
  <c r="C77" i="23"/>
  <c r="C78" i="23"/>
  <c r="C79" i="23"/>
  <c r="C80" i="23"/>
  <c r="C81" i="23"/>
  <c r="C82" i="23"/>
  <c r="C83" i="23"/>
  <c r="C84" i="23"/>
  <c r="B369" i="23"/>
  <c r="B370" i="23"/>
  <c r="B371" i="23"/>
  <c r="B372" i="23"/>
  <c r="B373" i="23"/>
  <c r="B374" i="23"/>
  <c r="B375" i="23"/>
  <c r="B376" i="23"/>
  <c r="B377" i="23"/>
  <c r="B378" i="23"/>
  <c r="B379" i="23"/>
  <c r="B380" i="23"/>
  <c r="B381" i="23"/>
  <c r="B382" i="23"/>
  <c r="B383" i="23"/>
  <c r="B384" i="23"/>
  <c r="B385" i="23"/>
  <c r="B386" i="23"/>
  <c r="B387" i="23"/>
  <c r="B388" i="23"/>
  <c r="B389" i="23"/>
  <c r="B390" i="23"/>
  <c r="B391" i="23"/>
  <c r="B392" i="23"/>
  <c r="B393" i="23"/>
  <c r="B394" i="23"/>
  <c r="B395" i="23"/>
  <c r="B396" i="23"/>
  <c r="B397" i="23"/>
  <c r="B398" i="23"/>
  <c r="B324" i="23"/>
  <c r="B325" i="23"/>
  <c r="B326" i="23"/>
  <c r="B327" i="23"/>
  <c r="B328" i="23"/>
  <c r="B329" i="23"/>
  <c r="B330" i="23"/>
  <c r="B331" i="23"/>
  <c r="B332" i="23"/>
  <c r="B333" i="23"/>
  <c r="B334" i="23"/>
  <c r="B335" i="23"/>
  <c r="B336" i="23"/>
  <c r="B337" i="23"/>
  <c r="B338" i="23"/>
  <c r="B339" i="23"/>
  <c r="B340" i="23"/>
  <c r="B341" i="23"/>
  <c r="B342" i="23"/>
  <c r="B343" i="23"/>
  <c r="B344" i="23"/>
  <c r="B345" i="23"/>
  <c r="B346" i="23"/>
  <c r="B347" i="23"/>
  <c r="B348" i="23"/>
  <c r="B349" i="23"/>
  <c r="B350" i="23"/>
  <c r="B351" i="23"/>
  <c r="B352" i="23"/>
  <c r="B353" i="23"/>
  <c r="B279" i="23"/>
  <c r="B280" i="23"/>
  <c r="B281" i="23"/>
  <c r="B282" i="23"/>
  <c r="B283" i="23"/>
  <c r="B284" i="23"/>
  <c r="B285" i="23"/>
  <c r="B286" i="23"/>
  <c r="B287" i="23"/>
  <c r="B288" i="23"/>
  <c r="B289" i="23"/>
  <c r="B290" i="23"/>
  <c r="B291" i="23"/>
  <c r="B292" i="23"/>
  <c r="B293" i="23"/>
  <c r="B294" i="23"/>
  <c r="B295" i="23"/>
  <c r="B296" i="23"/>
  <c r="B297" i="23"/>
  <c r="B298" i="23"/>
  <c r="B299" i="23"/>
  <c r="B300" i="23"/>
  <c r="B301" i="23"/>
  <c r="B302" i="23"/>
  <c r="B303" i="23"/>
  <c r="B304" i="23"/>
  <c r="B305" i="23"/>
  <c r="B306" i="23"/>
  <c r="B307" i="23"/>
  <c r="B308" i="23"/>
  <c r="C307" i="23"/>
  <c r="C352" i="23" s="1"/>
  <c r="C397" i="23" s="1"/>
  <c r="C442" i="23" s="1"/>
  <c r="C487" i="23" s="1"/>
  <c r="C532" i="23" s="1"/>
  <c r="C577" i="23" s="1"/>
  <c r="C622" i="23" s="1"/>
  <c r="C667" i="23" s="1"/>
  <c r="C712" i="23" s="1"/>
  <c r="B234" i="23"/>
  <c r="B235" i="23"/>
  <c r="B236" i="23"/>
  <c r="B237" i="23"/>
  <c r="B238" i="23"/>
  <c r="B239" i="23"/>
  <c r="B240" i="23"/>
  <c r="B241" i="23"/>
  <c r="B242" i="23"/>
  <c r="B243" i="23"/>
  <c r="B244" i="23"/>
  <c r="B245" i="23"/>
  <c r="B246" i="23"/>
  <c r="B247" i="23"/>
  <c r="B248" i="23"/>
  <c r="B249" i="23"/>
  <c r="B250" i="23"/>
  <c r="B251" i="23"/>
  <c r="B252" i="23"/>
  <c r="B253" i="23"/>
  <c r="B254" i="23"/>
  <c r="B255" i="23"/>
  <c r="B256" i="23"/>
  <c r="B257" i="23"/>
  <c r="B258" i="23"/>
  <c r="B259" i="23"/>
  <c r="B260" i="23"/>
  <c r="B261" i="23"/>
  <c r="B262" i="23"/>
  <c r="B263" i="23"/>
  <c r="B189" i="23"/>
  <c r="B190" i="23"/>
  <c r="B191" i="23"/>
  <c r="B192" i="23"/>
  <c r="B193" i="23"/>
  <c r="B194" i="23"/>
  <c r="B195" i="23"/>
  <c r="B196" i="23"/>
  <c r="B197" i="23"/>
  <c r="B198" i="23"/>
  <c r="B199" i="23"/>
  <c r="B200" i="23"/>
  <c r="B201" i="23"/>
  <c r="B202" i="23"/>
  <c r="B203" i="23"/>
  <c r="B204" i="23"/>
  <c r="B205" i="23"/>
  <c r="B206" i="23"/>
  <c r="B207" i="23"/>
  <c r="B208" i="23"/>
  <c r="B209" i="23"/>
  <c r="B210" i="23"/>
  <c r="B211" i="23"/>
  <c r="B212" i="23"/>
  <c r="B213" i="23"/>
  <c r="B214" i="23"/>
  <c r="B215" i="23"/>
  <c r="B216" i="23"/>
  <c r="B217" i="23"/>
  <c r="B218" i="23"/>
  <c r="B145" i="23"/>
  <c r="B146" i="23"/>
  <c r="B147" i="23"/>
  <c r="B148" i="23"/>
  <c r="B149" i="23"/>
  <c r="B150" i="23"/>
  <c r="B151" i="23"/>
  <c r="B152" i="23"/>
  <c r="B153" i="23"/>
  <c r="B154" i="23"/>
  <c r="B155" i="23"/>
  <c r="B156" i="23"/>
  <c r="B157" i="23"/>
  <c r="B158" i="23"/>
  <c r="B159" i="23"/>
  <c r="B160" i="23"/>
  <c r="B161" i="23"/>
  <c r="B162" i="23"/>
  <c r="B163" i="23"/>
  <c r="B164" i="23"/>
  <c r="B165" i="23"/>
  <c r="B166" i="23"/>
  <c r="B167" i="23"/>
  <c r="B168" i="23"/>
  <c r="B169" i="23"/>
  <c r="B170" i="23"/>
  <c r="B171" i="23"/>
  <c r="B172" i="23"/>
  <c r="B173" i="23"/>
  <c r="B174" i="23"/>
  <c r="B100" i="23"/>
  <c r="B101" i="23"/>
  <c r="B102" i="23"/>
  <c r="B103" i="23"/>
  <c r="B104" i="23"/>
  <c r="B105" i="23"/>
  <c r="B106" i="23"/>
  <c r="B107" i="23"/>
  <c r="B108" i="23"/>
  <c r="B109" i="23"/>
  <c r="B110" i="23"/>
  <c r="B111" i="23"/>
  <c r="B112" i="23"/>
  <c r="B113" i="23"/>
  <c r="B114" i="23"/>
  <c r="B115" i="23"/>
  <c r="B116" i="23"/>
  <c r="B117" i="23"/>
  <c r="B118" i="23"/>
  <c r="B119" i="23"/>
  <c r="B120" i="23"/>
  <c r="B121" i="23"/>
  <c r="B122" i="23"/>
  <c r="B123" i="23"/>
  <c r="B124" i="23"/>
  <c r="B125" i="23"/>
  <c r="B126" i="23"/>
  <c r="B127" i="23"/>
  <c r="B128" i="23"/>
  <c r="B129" i="23"/>
  <c r="B55" i="23"/>
  <c r="B56" i="23"/>
  <c r="B57" i="23"/>
  <c r="B58" i="23"/>
  <c r="B59" i="23"/>
  <c r="B60" i="23"/>
  <c r="B61" i="23"/>
  <c r="B62" i="23"/>
  <c r="B63" i="23"/>
  <c r="B64" i="23"/>
  <c r="B65" i="23"/>
  <c r="B66" i="23"/>
  <c r="B67" i="23"/>
  <c r="B68" i="23"/>
  <c r="B69" i="23"/>
  <c r="B70" i="23"/>
  <c r="B71" i="23"/>
  <c r="B72" i="23"/>
  <c r="B73" i="23"/>
  <c r="B74" i="23"/>
  <c r="B75" i="23"/>
  <c r="B76" i="23"/>
  <c r="B77" i="23"/>
  <c r="B78" i="23"/>
  <c r="B79" i="23"/>
  <c r="B80" i="23"/>
  <c r="B81" i="23"/>
  <c r="B82" i="23"/>
  <c r="B83" i="23"/>
  <c r="B84" i="23"/>
  <c r="C803" i="23"/>
  <c r="C848" i="23" s="1"/>
  <c r="C893" i="23" s="1"/>
  <c r="C938" i="23" s="1"/>
  <c r="C983" i="23" s="1"/>
  <c r="C1028" i="23" s="1"/>
  <c r="C1073" i="23" s="1"/>
  <c r="C1118" i="23" s="1"/>
  <c r="C1163" i="23" s="1"/>
  <c r="C1208" i="23" s="1"/>
  <c r="C1253" i="23" s="1"/>
  <c r="C1298" i="23" s="1"/>
  <c r="C801" i="23"/>
  <c r="C846" i="23" s="1"/>
  <c r="C891" i="23" s="1"/>
  <c r="C936" i="23" s="1"/>
  <c r="C981" i="23" s="1"/>
  <c r="C1026" i="23" s="1"/>
  <c r="C1071" i="23" s="1"/>
  <c r="C1116" i="23" s="1"/>
  <c r="C1161" i="23" s="1"/>
  <c r="C1206" i="23" s="1"/>
  <c r="C1251" i="23" s="1"/>
  <c r="C1296" i="23" s="1"/>
  <c r="C306" i="23"/>
  <c r="C351" i="23" s="1"/>
  <c r="C396" i="23" s="1"/>
  <c r="C441" i="23" s="1"/>
  <c r="C486" i="23" s="1"/>
  <c r="C531" i="23" s="1"/>
  <c r="C576" i="23" s="1"/>
  <c r="C621" i="23" s="1"/>
  <c r="C666" i="23" s="1"/>
  <c r="C711" i="23" s="1"/>
  <c r="H56" i="93"/>
  <c r="D51" i="93"/>
  <c r="B48" i="93"/>
  <c r="B44" i="93"/>
  <c r="B43" i="93"/>
  <c r="D42" i="93"/>
  <c r="D39" i="93"/>
  <c r="D38" i="93"/>
  <c r="D37" i="93"/>
  <c r="B36" i="93"/>
  <c r="B34" i="93"/>
  <c r="B32" i="93"/>
  <c r="D31" i="93"/>
  <c r="B30" i="93"/>
  <c r="B29" i="93"/>
  <c r="B25" i="93"/>
  <c r="D24" i="93"/>
  <c r="B23" i="93"/>
  <c r="B21" i="93"/>
  <c r="B20" i="93"/>
  <c r="B18" i="93"/>
  <c r="B12" i="93"/>
  <c r="D11" i="93"/>
  <c r="D14" i="93" s="1"/>
  <c r="E9" i="93"/>
  <c r="E10" i="93" s="1"/>
  <c r="D9" i="93"/>
  <c r="D12" i="93" s="1"/>
  <c r="E4" i="93"/>
  <c r="H3" i="93"/>
  <c r="C2" i="93"/>
  <c r="H56" i="92"/>
  <c r="D51" i="92"/>
  <c r="B48" i="92"/>
  <c r="B44" i="92"/>
  <c r="B43" i="92"/>
  <c r="D42" i="92"/>
  <c r="D39" i="92"/>
  <c r="D38" i="92"/>
  <c r="D37" i="92"/>
  <c r="B36" i="92"/>
  <c r="B34" i="92"/>
  <c r="B32" i="92"/>
  <c r="D31" i="92"/>
  <c r="B30" i="92"/>
  <c r="B29" i="92"/>
  <c r="B25" i="92"/>
  <c r="D24" i="92"/>
  <c r="B23" i="92"/>
  <c r="B21" i="92"/>
  <c r="B20" i="92"/>
  <c r="B18" i="92"/>
  <c r="B12" i="92"/>
  <c r="D11" i="92"/>
  <c r="D14" i="92" s="1"/>
  <c r="E9" i="92"/>
  <c r="E10" i="92" s="1"/>
  <c r="D9" i="92"/>
  <c r="D12" i="92" s="1"/>
  <c r="E4" i="92"/>
  <c r="H3" i="92"/>
  <c r="C2" i="92"/>
  <c r="H56" i="91"/>
  <c r="D51" i="91"/>
  <c r="B48" i="91"/>
  <c r="B44" i="91"/>
  <c r="B43" i="91"/>
  <c r="D42" i="91"/>
  <c r="D39" i="91"/>
  <c r="D38" i="91"/>
  <c r="D37" i="91"/>
  <c r="B36" i="91"/>
  <c r="B34" i="91"/>
  <c r="B32" i="91"/>
  <c r="D31" i="91"/>
  <c r="B30" i="91"/>
  <c r="B29" i="91"/>
  <c r="B25" i="91"/>
  <c r="D24" i="91"/>
  <c r="B23" i="91"/>
  <c r="B21" i="91"/>
  <c r="B20" i="91"/>
  <c r="B18" i="91"/>
  <c r="B12" i="91"/>
  <c r="D11" i="91"/>
  <c r="D14" i="91" s="1"/>
  <c r="E9" i="91"/>
  <c r="E10" i="91" s="1"/>
  <c r="E15" i="91" s="1"/>
  <c r="E16" i="91" s="1"/>
  <c r="D9" i="91"/>
  <c r="D12" i="91" s="1"/>
  <c r="E4" i="91"/>
  <c r="H3" i="91"/>
  <c r="C2" i="91"/>
  <c r="D10" i="93" l="1"/>
  <c r="E15" i="93"/>
  <c r="E16" i="93" s="1"/>
  <c r="E11" i="93"/>
  <c r="E12" i="93" s="1"/>
  <c r="E13" i="93" s="1"/>
  <c r="E15" i="92"/>
  <c r="E16" i="92" s="1"/>
  <c r="E11" i="92"/>
  <c r="E12" i="92" s="1"/>
  <c r="E13" i="92" s="1"/>
  <c r="D10" i="92"/>
  <c r="E11" i="91"/>
  <c r="E12" i="91" s="1"/>
  <c r="E13" i="91" s="1"/>
  <c r="D10" i="91"/>
  <c r="E30" i="86"/>
  <c r="D19" i="93" l="1"/>
  <c r="D13" i="93"/>
  <c r="E14" i="93"/>
  <c r="E17" i="93"/>
  <c r="E18" i="93" s="1"/>
  <c r="E19" i="93" s="1"/>
  <c r="E20" i="93" s="1"/>
  <c r="D19" i="92"/>
  <c r="D13" i="92"/>
  <c r="E14" i="92"/>
  <c r="E17" i="92"/>
  <c r="E18" i="92" s="1"/>
  <c r="E19" i="92" s="1"/>
  <c r="E20" i="92" s="1"/>
  <c r="E17" i="91"/>
  <c r="E18" i="91" s="1"/>
  <c r="E19" i="91" s="1"/>
  <c r="E20" i="91" s="1"/>
  <c r="E14" i="91"/>
  <c r="D19" i="91"/>
  <c r="D13" i="91"/>
  <c r="D37" i="86"/>
  <c r="E24" i="93" l="1"/>
  <c r="E29" i="93" s="1"/>
  <c r="E30" i="93" s="1"/>
  <c r="E22" i="93"/>
  <c r="E21" i="93"/>
  <c r="E23" i="93"/>
  <c r="E25" i="93" s="1"/>
  <c r="E24" i="92"/>
  <c r="E29" i="92" s="1"/>
  <c r="E30" i="92" s="1"/>
  <c r="E22" i="92"/>
  <c r="E21" i="92"/>
  <c r="E23" i="92"/>
  <c r="E25" i="92" s="1"/>
  <c r="E21" i="91"/>
  <c r="E23" i="91"/>
  <c r="E25" i="91" s="1"/>
  <c r="E24" i="91"/>
  <c r="E29" i="91" s="1"/>
  <c r="E30" i="91" s="1"/>
  <c r="E22" i="91"/>
  <c r="A51" i="90"/>
  <c r="A51" i="89"/>
  <c r="E31" i="93" l="1"/>
  <c r="E32" i="93"/>
  <c r="E31" i="92"/>
  <c r="E32" i="92"/>
  <c r="E32" i="91"/>
  <c r="E31" i="91"/>
  <c r="B21" i="71"/>
  <c r="B20" i="71"/>
  <c r="B12" i="84"/>
  <c r="B21" i="67"/>
  <c r="B21" i="70"/>
  <c r="E48" i="93" l="1"/>
  <c r="E33" i="93"/>
  <c r="E34" i="93"/>
  <c r="E36" i="93" s="1"/>
  <c r="E48" i="92"/>
  <c r="E33" i="92"/>
  <c r="E34" i="92"/>
  <c r="E36" i="92" s="1"/>
  <c r="E48" i="91"/>
  <c r="E33" i="91"/>
  <c r="E34" i="91"/>
  <c r="E36" i="91" s="1"/>
  <c r="B20" i="67"/>
  <c r="B18" i="78"/>
  <c r="B23" i="84"/>
  <c r="E37" i="93" l="1"/>
  <c r="E40" i="93"/>
  <c r="E49" i="93"/>
  <c r="E51" i="93"/>
  <c r="E50" i="93"/>
  <c r="E40" i="92"/>
  <c r="E37" i="92"/>
  <c r="E49" i="92"/>
  <c r="E51" i="92"/>
  <c r="E50" i="92"/>
  <c r="E40" i="91"/>
  <c r="E37" i="91"/>
  <c r="E51" i="91"/>
  <c r="E49" i="91"/>
  <c r="E50" i="91"/>
  <c r="B20" i="70"/>
  <c r="C800" i="23"/>
  <c r="C845" i="23" s="1"/>
  <c r="C890" i="23" s="1"/>
  <c r="C935" i="23" s="1"/>
  <c r="C980" i="23" s="1"/>
  <c r="C1025" i="23" s="1"/>
  <c r="C1070" i="23" s="1"/>
  <c r="C1115" i="23" s="1"/>
  <c r="C1160" i="23" s="1"/>
  <c r="C1205" i="23" s="1"/>
  <c r="C1250" i="23" s="1"/>
  <c r="C1295" i="23" s="1"/>
  <c r="C305" i="23"/>
  <c r="C350" i="23" s="1"/>
  <c r="C395" i="23" s="1"/>
  <c r="C440" i="23" s="1"/>
  <c r="C485" i="23" s="1"/>
  <c r="C530" i="23" s="1"/>
  <c r="C575" i="23" s="1"/>
  <c r="C620" i="23" s="1"/>
  <c r="C665" i="23" s="1"/>
  <c r="C710" i="23" s="1"/>
  <c r="C799" i="23"/>
  <c r="C844" i="23" s="1"/>
  <c r="C889" i="23" s="1"/>
  <c r="C934" i="23" s="1"/>
  <c r="C979" i="23" s="1"/>
  <c r="C1024" i="23" s="1"/>
  <c r="C1069" i="23" s="1"/>
  <c r="C1114" i="23" s="1"/>
  <c r="C1159" i="23" s="1"/>
  <c r="C1204" i="23" s="1"/>
  <c r="C1249" i="23" s="1"/>
  <c r="C1294" i="23" s="1"/>
  <c r="C304" i="23"/>
  <c r="C349" i="23" s="1"/>
  <c r="C394" i="23" s="1"/>
  <c r="C439" i="23" s="1"/>
  <c r="C484" i="23" s="1"/>
  <c r="C529" i="23" s="1"/>
  <c r="C574" i="23" s="1"/>
  <c r="C619" i="23" s="1"/>
  <c r="C664" i="23" s="1"/>
  <c r="C709" i="23" s="1"/>
  <c r="C798" i="23"/>
  <c r="C843" i="23" s="1"/>
  <c r="C888" i="23" s="1"/>
  <c r="C933" i="23" s="1"/>
  <c r="C978" i="23" s="1"/>
  <c r="C1023" i="23" s="1"/>
  <c r="C1068" i="23" s="1"/>
  <c r="C1113" i="23" s="1"/>
  <c r="C1158" i="23" s="1"/>
  <c r="C1203" i="23" s="1"/>
  <c r="C1248" i="23" s="1"/>
  <c r="C1293" i="23" s="1"/>
  <c r="C303" i="23"/>
  <c r="C348" i="23" s="1"/>
  <c r="C393" i="23" s="1"/>
  <c r="C438" i="23" s="1"/>
  <c r="C483" i="23" s="1"/>
  <c r="C528" i="23" s="1"/>
  <c r="C573" i="23" s="1"/>
  <c r="C618" i="23" s="1"/>
  <c r="C663" i="23" s="1"/>
  <c r="C708" i="23" s="1"/>
  <c r="E44" i="93" l="1"/>
  <c r="E43" i="93" s="1"/>
  <c r="E42" i="93"/>
  <c r="E38" i="93"/>
  <c r="E39" i="93"/>
  <c r="E41" i="93" s="1"/>
  <c r="E38" i="92"/>
  <c r="E39" i="92"/>
  <c r="E41" i="92" s="1"/>
  <c r="E44" i="92"/>
  <c r="E43" i="92" s="1"/>
  <c r="E42" i="92"/>
  <c r="E38" i="91"/>
  <c r="E39" i="91"/>
  <c r="E41" i="91" s="1"/>
  <c r="E44" i="91"/>
  <c r="E43" i="91" s="1"/>
  <c r="E42" i="91"/>
  <c r="H56" i="90"/>
  <c r="B48" i="90"/>
  <c r="B44" i="90"/>
  <c r="B43" i="90"/>
  <c r="D42" i="90"/>
  <c r="D39" i="90"/>
  <c r="D38" i="90"/>
  <c r="D37" i="90"/>
  <c r="B36" i="90"/>
  <c r="B34" i="90"/>
  <c r="B32" i="90"/>
  <c r="D31" i="90"/>
  <c r="B30" i="90"/>
  <c r="B29" i="90"/>
  <c r="B25" i="90"/>
  <c r="D24" i="90"/>
  <c r="B23" i="90"/>
  <c r="B21" i="90"/>
  <c r="B20" i="90"/>
  <c r="B18" i="90"/>
  <c r="B12" i="90"/>
  <c r="D11" i="90"/>
  <c r="D14" i="90" s="1"/>
  <c r="E9" i="90"/>
  <c r="E10" i="90" s="1"/>
  <c r="E15" i="90" s="1"/>
  <c r="E16" i="90" s="1"/>
  <c r="D9" i="90"/>
  <c r="D12" i="90" s="1"/>
  <c r="E4" i="90"/>
  <c r="H3" i="90"/>
  <c r="C2" i="90"/>
  <c r="H56" i="89"/>
  <c r="D51" i="89"/>
  <c r="B48" i="89"/>
  <c r="B44" i="89"/>
  <c r="B43" i="89"/>
  <c r="D42" i="89"/>
  <c r="D39" i="89"/>
  <c r="D38" i="89"/>
  <c r="D37" i="89"/>
  <c r="B36" i="89"/>
  <c r="B34" i="89"/>
  <c r="B32" i="89"/>
  <c r="D31" i="89"/>
  <c r="B30" i="89"/>
  <c r="B29" i="89"/>
  <c r="B25" i="89"/>
  <c r="D24" i="89"/>
  <c r="B23" i="89"/>
  <c r="B21" i="89"/>
  <c r="B20" i="89"/>
  <c r="B18" i="89"/>
  <c r="B12" i="89"/>
  <c r="D11" i="89"/>
  <c r="D14" i="89" s="1"/>
  <c r="E9" i="89"/>
  <c r="E10" i="89" s="1"/>
  <c r="E15" i="89" s="1"/>
  <c r="E16" i="89" s="1"/>
  <c r="D9" i="89"/>
  <c r="D12" i="89" s="1"/>
  <c r="E4" i="89"/>
  <c r="H3" i="89"/>
  <c r="C2" i="89"/>
  <c r="D10" i="89" l="1"/>
  <c r="D19" i="89" s="1"/>
  <c r="E11" i="90"/>
  <c r="E12" i="90" s="1"/>
  <c r="E13" i="90" s="1"/>
  <c r="D10" i="90"/>
  <c r="E11" i="89"/>
  <c r="E13" i="89" s="1"/>
  <c r="D13" i="89"/>
  <c r="H56" i="88"/>
  <c r="B48" i="88"/>
  <c r="B44" i="88"/>
  <c r="B43" i="88"/>
  <c r="D39" i="88"/>
  <c r="D38" i="88"/>
  <c r="D37" i="88"/>
  <c r="B36" i="88"/>
  <c r="B34" i="88"/>
  <c r="B32" i="88"/>
  <c r="D31" i="88"/>
  <c r="B30" i="88"/>
  <c r="B29" i="88"/>
  <c r="B25" i="88"/>
  <c r="D24" i="88"/>
  <c r="B23" i="88"/>
  <c r="B21" i="88"/>
  <c r="B20" i="88"/>
  <c r="B18" i="88"/>
  <c r="D11" i="88"/>
  <c r="D14" i="88" s="1"/>
  <c r="E9" i="88"/>
  <c r="E15" i="88" s="1"/>
  <c r="E16" i="88" s="1"/>
  <c r="D9" i="88"/>
  <c r="D12" i="88" s="1"/>
  <c r="E4" i="88"/>
  <c r="H3" i="88"/>
  <c r="C2" i="88"/>
  <c r="B18" i="77"/>
  <c r="B18" i="67"/>
  <c r="D19" i="90" l="1"/>
  <c r="D13" i="90"/>
  <c r="E17" i="90"/>
  <c r="E18" i="90" s="1"/>
  <c r="E19" i="90" s="1"/>
  <c r="E20" i="90" s="1"/>
  <c r="E14" i="90"/>
  <c r="E14" i="89"/>
  <c r="E17" i="89"/>
  <c r="E18" i="89"/>
  <c r="E19" i="89" s="1"/>
  <c r="E20" i="89" s="1"/>
  <c r="E11" i="88"/>
  <c r="E13" i="88" s="1"/>
  <c r="D10" i="88"/>
  <c r="B18" i="71"/>
  <c r="E21" i="90" l="1"/>
  <c r="E23" i="90"/>
  <c r="E25" i="90" s="1"/>
  <c r="E24" i="90"/>
  <c r="E29" i="90" s="1"/>
  <c r="E30" i="90" s="1"/>
  <c r="E22" i="90"/>
  <c r="E24" i="89"/>
  <c r="E29" i="89" s="1"/>
  <c r="E30" i="89" s="1"/>
  <c r="E22" i="89"/>
  <c r="E21" i="89"/>
  <c r="E23" i="89"/>
  <c r="E25" i="89" s="1"/>
  <c r="D19" i="88"/>
  <c r="D13" i="88"/>
  <c r="E18" i="88"/>
  <c r="E19" i="88" s="1"/>
  <c r="E20" i="88" s="1"/>
  <c r="E14" i="88"/>
  <c r="A51" i="87"/>
  <c r="E32" i="90" l="1"/>
  <c r="E31" i="90"/>
  <c r="E31" i="89"/>
  <c r="E32" i="89"/>
  <c r="E21" i="88"/>
  <c r="E24" i="88"/>
  <c r="E29" i="88" s="1"/>
  <c r="E30" i="88" s="1"/>
  <c r="E22" i="88"/>
  <c r="E23" i="88"/>
  <c r="E25" i="88" s="1"/>
  <c r="B18" i="70"/>
  <c r="E48" i="90" l="1"/>
  <c r="E33" i="90"/>
  <c r="E34" i="90"/>
  <c r="E36" i="90" s="1"/>
  <c r="E48" i="89"/>
  <c r="E33" i="89"/>
  <c r="E34" i="89"/>
  <c r="E36" i="89" s="1"/>
  <c r="E31" i="88"/>
  <c r="E32" i="88"/>
  <c r="H56" i="87"/>
  <c r="B48" i="87"/>
  <c r="B44" i="87"/>
  <c r="B43" i="87"/>
  <c r="D42" i="87"/>
  <c r="D39" i="87"/>
  <c r="D38" i="87"/>
  <c r="D37" i="87"/>
  <c r="B36" i="87"/>
  <c r="B34" i="87"/>
  <c r="B32" i="87"/>
  <c r="D31" i="87"/>
  <c r="B30" i="87"/>
  <c r="B29" i="87"/>
  <c r="B25" i="87"/>
  <c r="D24" i="87"/>
  <c r="B23" i="87"/>
  <c r="B21" i="87"/>
  <c r="B20" i="87"/>
  <c r="B18" i="87"/>
  <c r="B12" i="87"/>
  <c r="D11" i="87"/>
  <c r="D14" i="87" s="1"/>
  <c r="E9" i="87"/>
  <c r="E10" i="87" s="1"/>
  <c r="E15" i="87" s="1"/>
  <c r="E16" i="87" s="1"/>
  <c r="D9" i="87"/>
  <c r="D12" i="87" s="1"/>
  <c r="E4" i="87"/>
  <c r="H3" i="87"/>
  <c r="C2" i="87"/>
  <c r="E51" i="90" l="1"/>
  <c r="E50" i="90"/>
  <c r="E49" i="90"/>
  <c r="E40" i="90"/>
  <c r="E37" i="90"/>
  <c r="E40" i="89"/>
  <c r="E37" i="89"/>
  <c r="E49" i="89"/>
  <c r="E51" i="89"/>
  <c r="E50" i="89"/>
  <c r="E48" i="88"/>
  <c r="E33" i="88"/>
  <c r="E34" i="88"/>
  <c r="E36" i="88" s="1"/>
  <c r="E11" i="87"/>
  <c r="E12" i="87" s="1"/>
  <c r="E13" i="87" s="1"/>
  <c r="D10" i="87"/>
  <c r="H56" i="86"/>
  <c r="D51" i="86"/>
  <c r="B48" i="86"/>
  <c r="B44" i="86"/>
  <c r="B43" i="86"/>
  <c r="D42" i="86"/>
  <c r="D39" i="86"/>
  <c r="D38" i="86"/>
  <c r="B36" i="86"/>
  <c r="B34" i="86"/>
  <c r="B32" i="86"/>
  <c r="D31" i="86"/>
  <c r="B30" i="86"/>
  <c r="B29" i="86"/>
  <c r="B25" i="86"/>
  <c r="D24" i="86"/>
  <c r="B23" i="86"/>
  <c r="B21" i="86"/>
  <c r="B20" i="86"/>
  <c r="B18" i="86"/>
  <c r="B12" i="86"/>
  <c r="D11" i="86"/>
  <c r="D14" i="86" s="1"/>
  <c r="E9" i="86"/>
  <c r="E10" i="86" s="1"/>
  <c r="E15" i="86" s="1"/>
  <c r="E16" i="86" s="1"/>
  <c r="D9" i="86"/>
  <c r="D12" i="86" s="1"/>
  <c r="E4" i="86"/>
  <c r="H3" i="86"/>
  <c r="C2" i="86"/>
  <c r="E38" i="90" l="1"/>
  <c r="E39" i="90"/>
  <c r="E41" i="90" s="1"/>
  <c r="E44" i="90"/>
  <c r="E43" i="90" s="1"/>
  <c r="E42" i="90"/>
  <c r="E38" i="89"/>
  <c r="E39" i="89"/>
  <c r="E41" i="89" s="1"/>
  <c r="E44" i="89"/>
  <c r="E43" i="89" s="1"/>
  <c r="E42" i="89"/>
  <c r="E40" i="88"/>
  <c r="E37" i="88"/>
  <c r="E51" i="88"/>
  <c r="E49" i="88"/>
  <c r="E50" i="88"/>
  <c r="E17" i="87"/>
  <c r="E18" i="87" s="1"/>
  <c r="E19" i="87" s="1"/>
  <c r="E20" i="87" s="1"/>
  <c r="E14" i="87"/>
  <c r="D19" i="87"/>
  <c r="D13" i="87"/>
  <c r="E11" i="86"/>
  <c r="E12" i="86" s="1"/>
  <c r="E13" i="86" s="1"/>
  <c r="D10" i="86"/>
  <c r="C2" i="1"/>
  <c r="C2" i="76"/>
  <c r="B32" i="63"/>
  <c r="E38" i="88" l="1"/>
  <c r="E39" i="88"/>
  <c r="E41" i="88" s="1"/>
  <c r="E44" i="88"/>
  <c r="E43" i="88" s="1"/>
  <c r="E42" i="88"/>
  <c r="E21" i="87"/>
  <c r="E23" i="87"/>
  <c r="E25" i="87" s="1"/>
  <c r="E24" i="87"/>
  <c r="E29" i="87" s="1"/>
  <c r="E30" i="87" s="1"/>
  <c r="E22" i="87"/>
  <c r="E17" i="86"/>
  <c r="E18" i="86" s="1"/>
  <c r="E19" i="86" s="1"/>
  <c r="E20" i="86" s="1"/>
  <c r="E14" i="86"/>
  <c r="D19" i="86"/>
  <c r="D13" i="86"/>
  <c r="B30" i="69"/>
  <c r="B30" i="64"/>
  <c r="B12" i="78"/>
  <c r="E32" i="87" l="1"/>
  <c r="E31" i="87"/>
  <c r="E21" i="86"/>
  <c r="E25" i="86"/>
  <c r="E22" i="86"/>
  <c r="B29" i="61"/>
  <c r="B22" i="69"/>
  <c r="E48" i="87" l="1"/>
  <c r="E33" i="87"/>
  <c r="E34" i="87"/>
  <c r="E36" i="87" s="1"/>
  <c r="E32" i="86"/>
  <c r="E31" i="86"/>
  <c r="E40" i="87" l="1"/>
  <c r="E37" i="87"/>
  <c r="E51" i="87"/>
  <c r="E49" i="87"/>
  <c r="E50" i="87"/>
  <c r="E48" i="86"/>
  <c r="E33" i="86"/>
  <c r="E34" i="86"/>
  <c r="E36" i="86" s="1"/>
  <c r="B29" i="72"/>
  <c r="E44" i="87" l="1"/>
  <c r="E43" i="87" s="1"/>
  <c r="E42" i="87"/>
  <c r="E38" i="87"/>
  <c r="E39" i="87"/>
  <c r="E41" i="87" s="1"/>
  <c r="E40" i="86"/>
  <c r="E37" i="86"/>
  <c r="E51" i="86"/>
  <c r="E49" i="86"/>
  <c r="E50" i="86"/>
  <c r="A29" i="84"/>
  <c r="B29" i="84" l="1"/>
  <c r="A51" i="84"/>
  <c r="E44" i="86"/>
  <c r="E43" i="86" s="1"/>
  <c r="E42" i="86"/>
  <c r="E38" i="86"/>
  <c r="E39" i="86"/>
  <c r="E41" i="86" s="1"/>
  <c r="B23" i="72"/>
  <c r="B21" i="72" l="1"/>
  <c r="B30" i="66"/>
  <c r="H56" i="84" l="1"/>
  <c r="B48" i="84"/>
  <c r="B44" i="84"/>
  <c r="B43" i="84"/>
  <c r="D42" i="84"/>
  <c r="D39" i="84"/>
  <c r="D38" i="84"/>
  <c r="D37" i="84"/>
  <c r="B36" i="84"/>
  <c r="B34" i="84"/>
  <c r="B32" i="84"/>
  <c r="D31" i="84"/>
  <c r="B30" i="84"/>
  <c r="B25" i="84"/>
  <c r="D24" i="84"/>
  <c r="B21" i="84"/>
  <c r="B20" i="84"/>
  <c r="B18" i="84"/>
  <c r="D11" i="84"/>
  <c r="D14" i="84" s="1"/>
  <c r="E9" i="84"/>
  <c r="E10" i="84" s="1"/>
  <c r="D9" i="84"/>
  <c r="D12" i="84" s="1"/>
  <c r="E4" i="84"/>
  <c r="H3" i="84"/>
  <c r="D51" i="1"/>
  <c r="E15" i="84" l="1"/>
  <c r="E12" i="84"/>
  <c r="E13" i="84" s="1"/>
  <c r="E16" i="84"/>
  <c r="E17" i="84" s="1"/>
  <c r="D10" i="84"/>
  <c r="A51" i="56"/>
  <c r="B40" i="64"/>
  <c r="A51" i="64"/>
  <c r="B12" i="66"/>
  <c r="A51" i="66"/>
  <c r="B23" i="52"/>
  <c r="A51" i="52"/>
  <c r="B30" i="61"/>
  <c r="A51" i="61"/>
  <c r="A51" i="53"/>
  <c r="A23" i="63"/>
  <c r="B23" i="63" s="1"/>
  <c r="B30" i="67"/>
  <c r="B32" i="67"/>
  <c r="B34" i="67"/>
  <c r="B29" i="67"/>
  <c r="B29" i="58"/>
  <c r="A51" i="58"/>
  <c r="B18" i="72"/>
  <c r="B12" i="71"/>
  <c r="B29" i="68"/>
  <c r="A51" i="68"/>
  <c r="A51" i="80"/>
  <c r="B40" i="80"/>
  <c r="D13" i="84" l="1"/>
  <c r="D19" i="84"/>
  <c r="E18" i="84"/>
  <c r="E19" i="84" s="1"/>
  <c r="E20" i="84" s="1"/>
  <c r="E14" i="84"/>
  <c r="A51" i="63"/>
  <c r="E21" i="84" l="1"/>
  <c r="E24" i="84"/>
  <c r="E29" i="84" s="1"/>
  <c r="E30" i="84" s="1"/>
  <c r="E23" i="84"/>
  <c r="E25" i="84" s="1"/>
  <c r="E22" i="84"/>
  <c r="H56" i="80"/>
  <c r="D51" i="80"/>
  <c r="B48" i="80"/>
  <c r="B44" i="80"/>
  <c r="B43" i="80"/>
  <c r="D42" i="80"/>
  <c r="D39" i="80"/>
  <c r="D38" i="80"/>
  <c r="D37" i="80"/>
  <c r="B36" i="80"/>
  <c r="B34" i="80"/>
  <c r="B32" i="80"/>
  <c r="D31" i="80"/>
  <c r="B30" i="80"/>
  <c r="B29" i="80"/>
  <c r="B25" i="80"/>
  <c r="D24" i="80"/>
  <c r="B23" i="80"/>
  <c r="B21" i="80"/>
  <c r="B20" i="80"/>
  <c r="B18" i="80"/>
  <c r="B12" i="80"/>
  <c r="D11" i="80"/>
  <c r="D14" i="80" s="1"/>
  <c r="D9" i="80"/>
  <c r="E4" i="80"/>
  <c r="H3" i="80"/>
  <c r="C2" i="80"/>
  <c r="B30" i="58"/>
  <c r="B20" i="72"/>
  <c r="E32" i="84" l="1"/>
  <c r="E31" i="84"/>
  <c r="B51" i="80"/>
  <c r="D10" i="80"/>
  <c r="D13" i="80" s="1"/>
  <c r="D12" i="80"/>
  <c r="B23" i="74"/>
  <c r="E34" i="84" l="1"/>
  <c r="E36" i="84" s="1"/>
  <c r="E33" i="84"/>
  <c r="E48" i="84"/>
  <c r="D19" i="80"/>
  <c r="A51" i="79"/>
  <c r="E49" i="84" l="1"/>
  <c r="E51" i="84"/>
  <c r="E50" i="84"/>
  <c r="E37" i="84"/>
  <c r="E40" i="84"/>
  <c r="B12" i="76"/>
  <c r="B20" i="64"/>
  <c r="E42" i="84" l="1"/>
  <c r="E44" i="84"/>
  <c r="E43" i="84" s="1"/>
  <c r="E41" i="84"/>
  <c r="B12" i="67"/>
  <c r="B21" i="64" l="1"/>
  <c r="B21" i="66"/>
  <c r="A62" i="79" l="1"/>
  <c r="H56" i="79"/>
  <c r="B48" i="79"/>
  <c r="B44" i="79"/>
  <c r="B43" i="79"/>
  <c r="D42" i="79"/>
  <c r="D39" i="79"/>
  <c r="D38" i="79"/>
  <c r="D37" i="79"/>
  <c r="B36" i="79"/>
  <c r="B34" i="79"/>
  <c r="B32" i="79"/>
  <c r="D31" i="79"/>
  <c r="B30" i="79"/>
  <c r="B29" i="79"/>
  <c r="B25" i="79"/>
  <c r="D24" i="79"/>
  <c r="B23" i="79"/>
  <c r="B21" i="79"/>
  <c r="B20" i="79"/>
  <c r="B18" i="79"/>
  <c r="D11" i="79"/>
  <c r="D14" i="79" s="1"/>
  <c r="D9" i="79"/>
  <c r="D10" i="79" s="1"/>
  <c r="E4" i="79"/>
  <c r="H3" i="79"/>
  <c r="C2" i="79"/>
  <c r="B51" i="79" l="1"/>
  <c r="D12" i="79"/>
  <c r="D13" i="79"/>
  <c r="D19" i="79"/>
  <c r="B18" i="64"/>
  <c r="B20" i="66"/>
  <c r="B23" i="67" l="1"/>
  <c r="B23" i="69" l="1"/>
  <c r="B23" i="61"/>
  <c r="D51" i="56" l="1"/>
  <c r="E4" i="66"/>
  <c r="E12" i="67" l="1"/>
  <c r="A50" i="78"/>
  <c r="E9" i="78" l="1"/>
  <c r="H56" i="78"/>
  <c r="B48" i="78"/>
  <c r="B44" i="78"/>
  <c r="B43" i="78"/>
  <c r="D42" i="78"/>
  <c r="D39" i="78"/>
  <c r="D38" i="78"/>
  <c r="D37" i="78"/>
  <c r="B36" i="78"/>
  <c r="B34" i="78"/>
  <c r="B32" i="78"/>
  <c r="D31" i="78"/>
  <c r="B30" i="78"/>
  <c r="B29" i="78"/>
  <c r="B25" i="78"/>
  <c r="D24" i="78"/>
  <c r="B23" i="78"/>
  <c r="D11" i="78"/>
  <c r="D14" i="78" s="1"/>
  <c r="D9" i="78"/>
  <c r="D12" i="78" s="1"/>
  <c r="E4" i="78"/>
  <c r="H3" i="78"/>
  <c r="C2" i="78"/>
  <c r="B50" i="78" l="1"/>
  <c r="D10" i="78"/>
  <c r="D13" i="78" s="1"/>
  <c r="D19" i="78" l="1"/>
  <c r="D24" i="70" l="1"/>
  <c r="B23" i="70" l="1"/>
  <c r="B23" i="68"/>
  <c r="A51" i="77" l="1"/>
  <c r="A51" i="76"/>
  <c r="H56" i="77" l="1"/>
  <c r="B48" i="77"/>
  <c r="B44" i="77"/>
  <c r="D43" i="77"/>
  <c r="B43" i="77"/>
  <c r="D42" i="77"/>
  <c r="D39" i="77"/>
  <c r="D38" i="77"/>
  <c r="D37" i="77"/>
  <c r="B36" i="77"/>
  <c r="B34" i="77"/>
  <c r="B32" i="77"/>
  <c r="D31" i="77"/>
  <c r="B30" i="77"/>
  <c r="B29" i="77"/>
  <c r="B25" i="77"/>
  <c r="D24" i="77"/>
  <c r="B23" i="77"/>
  <c r="B21" i="77"/>
  <c r="D11" i="77"/>
  <c r="D14" i="77" s="1"/>
  <c r="D9" i="77"/>
  <c r="D10" i="77" s="1"/>
  <c r="E4" i="77"/>
  <c r="H3" i="77"/>
  <c r="C2" i="77"/>
  <c r="B51" i="77" l="1"/>
  <c r="D12" i="77"/>
  <c r="D13" i="77"/>
  <c r="D19" i="77"/>
  <c r="B18" i="66"/>
  <c r="H56" i="76" l="1"/>
  <c r="D51" i="76"/>
  <c r="B48" i="76"/>
  <c r="B44" i="76"/>
  <c r="B43" i="76"/>
  <c r="D42" i="76"/>
  <c r="D39" i="76"/>
  <c r="D38" i="76"/>
  <c r="D37" i="76"/>
  <c r="B36" i="76"/>
  <c r="B34" i="76"/>
  <c r="B32" i="76"/>
  <c r="D31" i="76"/>
  <c r="B30" i="76"/>
  <c r="B29" i="76"/>
  <c r="B25" i="76"/>
  <c r="D24" i="76"/>
  <c r="B23" i="76"/>
  <c r="B21" i="76"/>
  <c r="B20" i="76"/>
  <c r="B18" i="76"/>
  <c r="D11" i="76"/>
  <c r="D14" i="76" s="1"/>
  <c r="D9" i="76"/>
  <c r="D10" i="76" s="1"/>
  <c r="E4" i="76"/>
  <c r="H3" i="76"/>
  <c r="B51" i="76" l="1"/>
  <c r="D12" i="76"/>
  <c r="D19" i="76"/>
  <c r="D13" i="76"/>
  <c r="B30" i="68"/>
  <c r="B12" i="63" l="1"/>
  <c r="B12" i="64"/>
  <c r="B21" i="68" l="1"/>
  <c r="B20" i="68"/>
  <c r="B12" i="58" l="1"/>
  <c r="B12" i="68"/>
  <c r="A51" i="74" l="1"/>
  <c r="H56" i="74" l="1"/>
  <c r="B48" i="74"/>
  <c r="B44" i="74"/>
  <c r="D43" i="74"/>
  <c r="B43" i="74"/>
  <c r="D42" i="74"/>
  <c r="D39" i="74"/>
  <c r="D38" i="74"/>
  <c r="D37" i="74"/>
  <c r="B36" i="74"/>
  <c r="B34" i="74"/>
  <c r="B32" i="74"/>
  <c r="D31" i="74"/>
  <c r="B30" i="74"/>
  <c r="B29" i="74"/>
  <c r="B25" i="74"/>
  <c r="D24" i="74"/>
  <c r="B21" i="74"/>
  <c r="B20" i="74"/>
  <c r="B18" i="74"/>
  <c r="D11" i="74"/>
  <c r="D14" i="74" s="1"/>
  <c r="D9" i="74"/>
  <c r="D10" i="74" s="1"/>
  <c r="E4" i="74"/>
  <c r="H3" i="74"/>
  <c r="C2" i="74"/>
  <c r="B51" i="74" l="1"/>
  <c r="D12" i="74"/>
  <c r="D19" i="74"/>
  <c r="D13" i="74"/>
  <c r="A12" i="72"/>
  <c r="B12" i="72" s="1"/>
  <c r="A51" i="71"/>
  <c r="A12" i="69"/>
  <c r="B12" i="69" s="1"/>
  <c r="A51" i="70" l="1"/>
  <c r="A51" i="69"/>
  <c r="A51" i="72"/>
  <c r="H56" i="73"/>
  <c r="B48" i="73"/>
  <c r="B44" i="73"/>
  <c r="B43" i="73"/>
  <c r="D42" i="73"/>
  <c r="D39" i="73"/>
  <c r="D38" i="73"/>
  <c r="D37" i="73"/>
  <c r="B36" i="73"/>
  <c r="B34" i="73"/>
  <c r="B32" i="73"/>
  <c r="D31" i="73"/>
  <c r="B30" i="73"/>
  <c r="B29" i="73"/>
  <c r="B25" i="73"/>
  <c r="B21" i="73"/>
  <c r="B20" i="73"/>
  <c r="B18" i="73"/>
  <c r="B12" i="73"/>
  <c r="D11" i="73"/>
  <c r="D14" i="73" s="1"/>
  <c r="D9" i="73"/>
  <c r="D12" i="73" s="1"/>
  <c r="E4" i="73"/>
  <c r="H3" i="73"/>
  <c r="C2" i="73"/>
  <c r="B21" i="61"/>
  <c r="B20" i="61"/>
  <c r="D10" i="73" l="1"/>
  <c r="B12" i="61"/>
  <c r="B18" i="61"/>
  <c r="B18" i="68"/>
  <c r="H56" i="72"/>
  <c r="D51" i="72"/>
  <c r="B48" i="72"/>
  <c r="B44" i="72"/>
  <c r="B43" i="72"/>
  <c r="D42" i="72"/>
  <c r="D39" i="72"/>
  <c r="D38" i="72"/>
  <c r="D37" i="72"/>
  <c r="B36" i="72"/>
  <c r="B34" i="72"/>
  <c r="B32" i="72"/>
  <c r="D31" i="72"/>
  <c r="B30" i="72"/>
  <c r="B25" i="72"/>
  <c r="D24" i="72"/>
  <c r="D11" i="72"/>
  <c r="D14" i="72" s="1"/>
  <c r="D9" i="72"/>
  <c r="D10" i="72" s="1"/>
  <c r="E4" i="72"/>
  <c r="H3" i="72"/>
  <c r="C2" i="72"/>
  <c r="B51" i="72" l="1"/>
  <c r="D19" i="73"/>
  <c r="D13" i="73"/>
  <c r="D12" i="72"/>
  <c r="D19" i="72"/>
  <c r="D13" i="72"/>
  <c r="H56" i="71"/>
  <c r="D51" i="71"/>
  <c r="B48" i="71"/>
  <c r="B44" i="71"/>
  <c r="D43" i="71"/>
  <c r="B43" i="71"/>
  <c r="D42" i="71"/>
  <c r="D39" i="71"/>
  <c r="D38" i="71"/>
  <c r="D37" i="71"/>
  <c r="B36" i="71"/>
  <c r="B34" i="71"/>
  <c r="B32" i="71"/>
  <c r="D31" i="71"/>
  <c r="B30" i="71"/>
  <c r="B25" i="71"/>
  <c r="D24" i="71"/>
  <c r="B23" i="71"/>
  <c r="D11" i="71"/>
  <c r="D14" i="71" s="1"/>
  <c r="D9" i="71"/>
  <c r="D10" i="71" s="1"/>
  <c r="E4" i="71"/>
  <c r="H3" i="71"/>
  <c r="C2" i="71"/>
  <c r="B51" i="71" l="1"/>
  <c r="D12" i="71"/>
  <c r="D13" i="71"/>
  <c r="D19" i="71"/>
  <c r="H56" i="70"/>
  <c r="D51" i="70"/>
  <c r="B48" i="70"/>
  <c r="B44" i="70"/>
  <c r="D43" i="70"/>
  <c r="B43" i="70"/>
  <c r="D42" i="70"/>
  <c r="D39" i="70"/>
  <c r="D38" i="70"/>
  <c r="D37" i="70"/>
  <c r="B36" i="70"/>
  <c r="B34" i="70"/>
  <c r="B32" i="70"/>
  <c r="D31" i="70"/>
  <c r="B30" i="70"/>
  <c r="B29" i="70"/>
  <c r="B25" i="70"/>
  <c r="D11" i="70"/>
  <c r="D9" i="70"/>
  <c r="D10" i="70" s="1"/>
  <c r="E4" i="70"/>
  <c r="H3" i="70"/>
  <c r="C2" i="70"/>
  <c r="B51" i="70" l="1"/>
  <c r="D19" i="70"/>
  <c r="D13" i="70"/>
  <c r="H56" i="69"/>
  <c r="D51" i="69"/>
  <c r="B48" i="69"/>
  <c r="B44" i="69"/>
  <c r="B43" i="69"/>
  <c r="D42" i="69"/>
  <c r="D39" i="69"/>
  <c r="D38" i="69"/>
  <c r="D37" i="69"/>
  <c r="B36" i="69"/>
  <c r="B34" i="69"/>
  <c r="B32" i="69"/>
  <c r="D31" i="69"/>
  <c r="B29" i="69"/>
  <c r="B25" i="69"/>
  <c r="D24" i="69"/>
  <c r="B21" i="69"/>
  <c r="B20" i="69"/>
  <c r="B18" i="69"/>
  <c r="D11" i="69"/>
  <c r="D9" i="69"/>
  <c r="D10" i="69" s="1"/>
  <c r="E4" i="69"/>
  <c r="H3" i="69"/>
  <c r="C2" i="69"/>
  <c r="B51" i="69" l="1"/>
  <c r="D12" i="69"/>
  <c r="D19" i="69"/>
  <c r="D13" i="69"/>
  <c r="B12" i="56" l="1"/>
  <c r="B30" i="56" l="1"/>
  <c r="B12" i="53"/>
  <c r="B29" i="56" l="1"/>
  <c r="B12" i="52" l="1"/>
  <c r="B34" i="52" l="1"/>
  <c r="B32" i="52"/>
  <c r="B20" i="56" l="1"/>
  <c r="A51" i="67" l="1"/>
  <c r="B18" i="56" l="1"/>
  <c r="H56" i="68" l="1"/>
  <c r="B48" i="68"/>
  <c r="B44" i="68"/>
  <c r="B43" i="68"/>
  <c r="D42" i="68"/>
  <c r="D39" i="68"/>
  <c r="D38" i="68"/>
  <c r="D37" i="68"/>
  <c r="B36" i="68"/>
  <c r="B34" i="68"/>
  <c r="B32" i="68"/>
  <c r="D31" i="68"/>
  <c r="B25" i="68"/>
  <c r="D24" i="68"/>
  <c r="D11" i="68"/>
  <c r="D14" i="68" s="1"/>
  <c r="D9" i="68"/>
  <c r="D10" i="68" s="1"/>
  <c r="E4" i="68"/>
  <c r="H3" i="68"/>
  <c r="C2" i="68"/>
  <c r="H56" i="67"/>
  <c r="B48" i="67"/>
  <c r="B44" i="67"/>
  <c r="B43" i="67"/>
  <c r="D42" i="67"/>
  <c r="D39" i="67"/>
  <c r="D38" i="67"/>
  <c r="D37" i="67"/>
  <c r="B36" i="67"/>
  <c r="B25" i="67"/>
  <c r="D11" i="67"/>
  <c r="D14" i="67" s="1"/>
  <c r="D9" i="67"/>
  <c r="D10" i="67" s="1"/>
  <c r="E4" i="67"/>
  <c r="H3" i="67"/>
  <c r="C2" i="67"/>
  <c r="H56" i="66"/>
  <c r="B48" i="66"/>
  <c r="B44" i="66"/>
  <c r="D43" i="66"/>
  <c r="B43" i="66"/>
  <c r="D42" i="66"/>
  <c r="D39" i="66"/>
  <c r="D38" i="66"/>
  <c r="D37" i="66"/>
  <c r="B36" i="66"/>
  <c r="B34" i="66"/>
  <c r="B32" i="66"/>
  <c r="D31" i="66"/>
  <c r="B29" i="66"/>
  <c r="B25" i="66"/>
  <c r="D24" i="66"/>
  <c r="B23" i="66"/>
  <c r="D11" i="66"/>
  <c r="D14" i="66" s="1"/>
  <c r="D9" i="66"/>
  <c r="D10" i="66" s="1"/>
  <c r="H3" i="66"/>
  <c r="C2" i="66"/>
  <c r="B51" i="68" l="1"/>
  <c r="B51" i="67"/>
  <c r="B51" i="66"/>
  <c r="D12" i="66"/>
  <c r="D12" i="67"/>
  <c r="D12" i="68"/>
  <c r="D13" i="68"/>
  <c r="D19" i="68"/>
  <c r="D13" i="67"/>
  <c r="D19" i="67"/>
  <c r="D13" i="66"/>
  <c r="D19" i="66"/>
  <c r="B30" i="52"/>
  <c r="B29" i="52" l="1"/>
  <c r="H56" i="64" l="1"/>
  <c r="B48" i="64"/>
  <c r="B44" i="64"/>
  <c r="B43" i="64"/>
  <c r="D42" i="64"/>
  <c r="D39" i="64"/>
  <c r="D38" i="64"/>
  <c r="D37" i="64"/>
  <c r="B36" i="64"/>
  <c r="B34" i="64"/>
  <c r="B32" i="64"/>
  <c r="D31" i="64"/>
  <c r="B29" i="64"/>
  <c r="B25" i="64"/>
  <c r="D24" i="64"/>
  <c r="B23" i="64"/>
  <c r="D11" i="64"/>
  <c r="D14" i="64" s="1"/>
  <c r="D9" i="64"/>
  <c r="D12" i="64" s="1"/>
  <c r="E4" i="64"/>
  <c r="H3" i="64"/>
  <c r="C2" i="64"/>
  <c r="B51" i="64" l="1"/>
  <c r="D10" i="64"/>
  <c r="C302" i="23"/>
  <c r="C347" i="23" s="1"/>
  <c r="C392" i="23" s="1"/>
  <c r="C437" i="23" s="1"/>
  <c r="C482" i="23" s="1"/>
  <c r="C527" i="23" s="1"/>
  <c r="C572" i="23" s="1"/>
  <c r="C617" i="23" s="1"/>
  <c r="C662" i="23" s="1"/>
  <c r="C707" i="23" s="1"/>
  <c r="D13" i="64" l="1"/>
  <c r="D19" i="64"/>
  <c r="B23" i="58" l="1"/>
  <c r="H56" i="63" l="1"/>
  <c r="D51" i="63"/>
  <c r="B48" i="63"/>
  <c r="B44" i="63"/>
  <c r="B43" i="63"/>
  <c r="D42" i="63"/>
  <c r="D39" i="63"/>
  <c r="D38" i="63"/>
  <c r="D37" i="63"/>
  <c r="B36" i="63"/>
  <c r="B34" i="63"/>
  <c r="D31" i="63"/>
  <c r="B30" i="63"/>
  <c r="B29" i="63"/>
  <c r="B25" i="63"/>
  <c r="D24" i="63"/>
  <c r="B21" i="63"/>
  <c r="B20" i="63"/>
  <c r="B18" i="63"/>
  <c r="D11" i="63"/>
  <c r="D14" i="63" s="1"/>
  <c r="D9" i="63"/>
  <c r="D10" i="63" s="1"/>
  <c r="E4" i="63"/>
  <c r="H3" i="63"/>
  <c r="C2" i="63"/>
  <c r="B51" i="63" l="1"/>
  <c r="D12" i="63"/>
  <c r="D13" i="63"/>
  <c r="H56" i="61" l="1"/>
  <c r="B48" i="61"/>
  <c r="B44" i="61"/>
  <c r="B43" i="61"/>
  <c r="D42" i="61"/>
  <c r="D39" i="61"/>
  <c r="D38" i="61"/>
  <c r="D37" i="61"/>
  <c r="B36" i="61"/>
  <c r="B34" i="61"/>
  <c r="B32" i="61"/>
  <c r="D31" i="61"/>
  <c r="B25" i="61"/>
  <c r="D24" i="61"/>
  <c r="D11" i="61"/>
  <c r="D14" i="61" s="1"/>
  <c r="D9" i="61"/>
  <c r="D10" i="61" s="1"/>
  <c r="E4" i="61"/>
  <c r="H3" i="61"/>
  <c r="C2" i="61"/>
  <c r="B51" i="61" l="1"/>
  <c r="D12" i="61"/>
  <c r="D13" i="61"/>
  <c r="D19" i="61"/>
  <c r="B23" i="56" l="1"/>
  <c r="H56" i="58" l="1"/>
  <c r="B48" i="58"/>
  <c r="B44" i="58"/>
  <c r="B43" i="58"/>
  <c r="D42" i="58"/>
  <c r="D39" i="58"/>
  <c r="D38" i="58"/>
  <c r="D37" i="58"/>
  <c r="B36" i="58"/>
  <c r="B34" i="58"/>
  <c r="B32" i="58"/>
  <c r="D31" i="58"/>
  <c r="B25" i="58"/>
  <c r="D24" i="58"/>
  <c r="B21" i="58"/>
  <c r="B20" i="58"/>
  <c r="B18" i="58"/>
  <c r="D11" i="58"/>
  <c r="D14" i="58" s="1"/>
  <c r="D9" i="58"/>
  <c r="D10" i="58" s="1"/>
  <c r="H3" i="58"/>
  <c r="C2" i="58"/>
  <c r="B51" i="58" l="1"/>
  <c r="D12" i="58"/>
  <c r="D19" i="58"/>
  <c r="B21" i="52"/>
  <c r="B20" i="52" l="1"/>
  <c r="B18" i="52" l="1"/>
  <c r="B23" i="53" l="1"/>
  <c r="H56" i="56" l="1"/>
  <c r="B48" i="56"/>
  <c r="B44" i="56"/>
  <c r="B43" i="56"/>
  <c r="D42" i="56"/>
  <c r="D39" i="56"/>
  <c r="D38" i="56"/>
  <c r="D37" i="56"/>
  <c r="B36" i="56"/>
  <c r="B34" i="56"/>
  <c r="B32" i="56"/>
  <c r="D31" i="56"/>
  <c r="B25" i="56"/>
  <c r="D24" i="56"/>
  <c r="D11" i="56"/>
  <c r="D14" i="56" s="1"/>
  <c r="D9" i="56"/>
  <c r="D10" i="56" s="1"/>
  <c r="E4" i="56"/>
  <c r="H3" i="56"/>
  <c r="C2" i="56"/>
  <c r="B51" i="56" l="1"/>
  <c r="D12" i="56"/>
  <c r="D13" i="56"/>
  <c r="D19" i="56"/>
  <c r="C301" i="23" l="1"/>
  <c r="C346" i="23" s="1"/>
  <c r="C391" i="23" s="1"/>
  <c r="C436" i="23" s="1"/>
  <c r="C481" i="23" s="1"/>
  <c r="C526" i="23" s="1"/>
  <c r="C571" i="23" s="1"/>
  <c r="C616" i="23" s="1"/>
  <c r="C661" i="23" s="1"/>
  <c r="C706" i="23" s="1"/>
  <c r="B40" i="52" l="1"/>
  <c r="E48" i="53"/>
  <c r="C300" i="23" l="1"/>
  <c r="C345" i="23" s="1"/>
  <c r="C390" i="23" s="1"/>
  <c r="C435" i="23" s="1"/>
  <c r="C480" i="23" s="1"/>
  <c r="C525" i="23" s="1"/>
  <c r="C570" i="23" s="1"/>
  <c r="C615" i="23" s="1"/>
  <c r="C660" i="23" s="1"/>
  <c r="C705" i="23" s="1"/>
  <c r="H56" i="53" l="1"/>
  <c r="D51" i="53"/>
  <c r="E51" i="53"/>
  <c r="B48" i="53"/>
  <c r="B44" i="53"/>
  <c r="B43" i="53"/>
  <c r="D42" i="53"/>
  <c r="D39" i="53"/>
  <c r="D38" i="53"/>
  <c r="D37" i="53"/>
  <c r="B36" i="53"/>
  <c r="E34" i="53"/>
  <c r="E36" i="53" s="1"/>
  <c r="B34" i="53"/>
  <c r="E33" i="53"/>
  <c r="B32" i="53"/>
  <c r="D31" i="53"/>
  <c r="B30" i="53"/>
  <c r="B29" i="53"/>
  <c r="B25" i="53"/>
  <c r="D24" i="53"/>
  <c r="B21" i="53"/>
  <c r="B20" i="53"/>
  <c r="B18" i="53"/>
  <c r="D11" i="53"/>
  <c r="D9" i="53"/>
  <c r="D10" i="53" s="1"/>
  <c r="E4" i="53"/>
  <c r="H3" i="53"/>
  <c r="C2" i="53"/>
  <c r="B51" i="53" l="1"/>
  <c r="E49" i="53"/>
  <c r="D12" i="53"/>
  <c r="D13" i="53"/>
  <c r="D19" i="53"/>
  <c r="E40" i="53"/>
  <c r="E37" i="53"/>
  <c r="E50" i="53"/>
  <c r="E39" i="53" l="1"/>
  <c r="E41" i="53" s="1"/>
  <c r="E38" i="53"/>
  <c r="E44" i="53"/>
  <c r="E43" i="53" s="1"/>
  <c r="E42" i="53"/>
  <c r="E4" i="52"/>
  <c r="H56" i="52"/>
  <c r="D51" i="52"/>
  <c r="B48" i="52"/>
  <c r="B44" i="52"/>
  <c r="B43" i="52"/>
  <c r="D42" i="52"/>
  <c r="D39" i="52"/>
  <c r="D38" i="52"/>
  <c r="D37" i="52"/>
  <c r="B36" i="52"/>
  <c r="D31" i="52"/>
  <c r="B25" i="52"/>
  <c r="D24" i="52"/>
  <c r="D11" i="52"/>
  <c r="D14" i="52" s="1"/>
  <c r="D9" i="52"/>
  <c r="D10" i="52" s="1"/>
  <c r="H3" i="52"/>
  <c r="C2" i="52"/>
  <c r="B51" i="52" l="1"/>
  <c r="D12" i="52"/>
  <c r="D13" i="52"/>
  <c r="D19" i="52"/>
  <c r="B12" i="1" l="1"/>
  <c r="C797" i="23" l="1"/>
  <c r="C842" i="23" s="1"/>
  <c r="C887" i="23" l="1"/>
  <c r="C932" i="23" s="1"/>
  <c r="C977" i="23" s="1"/>
  <c r="C1022" i="23" s="1"/>
  <c r="C1067" i="23" s="1"/>
  <c r="C1112" i="23" s="1"/>
  <c r="C1157" i="23" s="1"/>
  <c r="C1202" i="23" s="1"/>
  <c r="C1247" i="23" l="1"/>
  <c r="C1292" i="23" s="1"/>
  <c r="H3" i="1" l="1"/>
  <c r="B43" i="1"/>
  <c r="H56" i="1" l="1"/>
  <c r="D24" i="1"/>
  <c r="D9" i="1"/>
  <c r="D12" i="1" s="1"/>
  <c r="D11" i="1"/>
  <c r="D14" i="1" s="1"/>
  <c r="D10" i="1" l="1"/>
  <c r="D13" i="1" s="1"/>
  <c r="C796" i="23" l="1"/>
  <c r="C841" i="23" s="1"/>
  <c r="C886" i="23" l="1"/>
  <c r="C931" i="23" s="1"/>
  <c r="C976" i="23" s="1"/>
  <c r="C1021" i="23" s="1"/>
  <c r="C1066" i="23" s="1"/>
  <c r="C1111" i="23" s="1"/>
  <c r="C1156" i="23" s="1"/>
  <c r="C1201" i="23" s="1"/>
  <c r="B48" i="1"/>
  <c r="B44" i="1"/>
  <c r="B36" i="1"/>
  <c r="B34" i="1"/>
  <c r="B32" i="1"/>
  <c r="B30" i="1"/>
  <c r="B29" i="1"/>
  <c r="B25" i="1"/>
  <c r="B23" i="1"/>
  <c r="B21" i="1"/>
  <c r="B20" i="1"/>
  <c r="B18" i="1"/>
  <c r="C1246" i="23" l="1"/>
  <c r="C1291" i="23" s="1"/>
  <c r="D42" i="1"/>
  <c r="C280" i="23" l="1"/>
  <c r="C325" i="23" s="1"/>
  <c r="C370" i="23" s="1"/>
  <c r="C415" i="23" s="1"/>
  <c r="C460" i="23" s="1"/>
  <c r="C505" i="23" s="1"/>
  <c r="C550" i="23" s="1"/>
  <c r="C595" i="23" s="1"/>
  <c r="C640" i="23" s="1"/>
  <c r="C685" i="23" s="1"/>
  <c r="C775" i="23" s="1"/>
  <c r="C820" i="23" s="1"/>
  <c r="C281" i="23"/>
  <c r="C326" i="23" s="1"/>
  <c r="C371" i="23" s="1"/>
  <c r="C416" i="23" s="1"/>
  <c r="C461" i="23" s="1"/>
  <c r="C506" i="23" s="1"/>
  <c r="C551" i="23" s="1"/>
  <c r="C596" i="23" s="1"/>
  <c r="C641" i="23" s="1"/>
  <c r="C686" i="23" s="1"/>
  <c r="C776" i="23" s="1"/>
  <c r="C821" i="23" s="1"/>
  <c r="C282" i="23"/>
  <c r="C327" i="23" s="1"/>
  <c r="C372" i="23" s="1"/>
  <c r="C417" i="23" s="1"/>
  <c r="C462" i="23" s="1"/>
  <c r="C507" i="23" s="1"/>
  <c r="C552" i="23" s="1"/>
  <c r="C597" i="23" s="1"/>
  <c r="C642" i="23" s="1"/>
  <c r="C687" i="23" s="1"/>
  <c r="C777" i="23" s="1"/>
  <c r="C822" i="23" s="1"/>
  <c r="C283" i="23"/>
  <c r="C328" i="23" s="1"/>
  <c r="C373" i="23" s="1"/>
  <c r="C418" i="23" s="1"/>
  <c r="C463" i="23" s="1"/>
  <c r="C508" i="23" s="1"/>
  <c r="C553" i="23" s="1"/>
  <c r="C598" i="23" s="1"/>
  <c r="C643" i="23" s="1"/>
  <c r="C688" i="23" s="1"/>
  <c r="C778" i="23" s="1"/>
  <c r="C823" i="23" s="1"/>
  <c r="C284" i="23"/>
  <c r="C329" i="23" s="1"/>
  <c r="C374" i="23" s="1"/>
  <c r="C285" i="23"/>
  <c r="C330" i="23" s="1"/>
  <c r="C375" i="23" s="1"/>
  <c r="C420" i="23" s="1"/>
  <c r="C465" i="23" s="1"/>
  <c r="C510" i="23" s="1"/>
  <c r="C555" i="23" s="1"/>
  <c r="C600" i="23" s="1"/>
  <c r="C645" i="23" s="1"/>
  <c r="C690" i="23" s="1"/>
  <c r="C780" i="23" s="1"/>
  <c r="C825" i="23" s="1"/>
  <c r="C286" i="23"/>
  <c r="C331" i="23" s="1"/>
  <c r="C376" i="23" s="1"/>
  <c r="C421" i="23" s="1"/>
  <c r="C466" i="23" s="1"/>
  <c r="C511" i="23" s="1"/>
  <c r="C556" i="23" s="1"/>
  <c r="C601" i="23" s="1"/>
  <c r="C646" i="23" s="1"/>
  <c r="C691" i="23" s="1"/>
  <c r="C781" i="23" s="1"/>
  <c r="C826" i="23" s="1"/>
  <c r="C287" i="23"/>
  <c r="C332" i="23" s="1"/>
  <c r="C377" i="23" s="1"/>
  <c r="C422" i="23" s="1"/>
  <c r="C467" i="23" s="1"/>
  <c r="C512" i="23" s="1"/>
  <c r="C557" i="23" s="1"/>
  <c r="C602" i="23" s="1"/>
  <c r="C647" i="23" s="1"/>
  <c r="C692" i="23" s="1"/>
  <c r="C782" i="23" s="1"/>
  <c r="C827" i="23" s="1"/>
  <c r="C288" i="23"/>
  <c r="C333" i="23" s="1"/>
  <c r="C378" i="23" s="1"/>
  <c r="C423" i="23" s="1"/>
  <c r="C468" i="23" s="1"/>
  <c r="C513" i="23" s="1"/>
  <c r="C558" i="23" s="1"/>
  <c r="C603" i="23" s="1"/>
  <c r="C648" i="23" s="1"/>
  <c r="C693" i="23" s="1"/>
  <c r="C783" i="23" s="1"/>
  <c r="C828" i="23" s="1"/>
  <c r="C289" i="23"/>
  <c r="C334" i="23" s="1"/>
  <c r="C379" i="23" s="1"/>
  <c r="C424" i="23" s="1"/>
  <c r="C469" i="23" s="1"/>
  <c r="C514" i="23" s="1"/>
  <c r="C559" i="23" s="1"/>
  <c r="C604" i="23" s="1"/>
  <c r="C649" i="23" s="1"/>
  <c r="C694" i="23" s="1"/>
  <c r="C784" i="23" s="1"/>
  <c r="C829" i="23" s="1"/>
  <c r="C291" i="23"/>
  <c r="C336" i="23" s="1"/>
  <c r="C381" i="23" s="1"/>
  <c r="C426" i="23" s="1"/>
  <c r="C471" i="23" s="1"/>
  <c r="C516" i="23" s="1"/>
  <c r="C561" i="23" s="1"/>
  <c r="C606" i="23" s="1"/>
  <c r="C651" i="23" s="1"/>
  <c r="C696" i="23" s="1"/>
  <c r="C786" i="23" s="1"/>
  <c r="C831" i="23" s="1"/>
  <c r="C292" i="23"/>
  <c r="C337" i="23" s="1"/>
  <c r="C382" i="23" s="1"/>
  <c r="C427" i="23" s="1"/>
  <c r="C472" i="23" s="1"/>
  <c r="C517" i="23" s="1"/>
  <c r="C562" i="23" s="1"/>
  <c r="C607" i="23" s="1"/>
  <c r="C652" i="23" s="1"/>
  <c r="C697" i="23" s="1"/>
  <c r="C787" i="23" s="1"/>
  <c r="C832" i="23" s="1"/>
  <c r="C293" i="23"/>
  <c r="C338" i="23" s="1"/>
  <c r="C383" i="23" s="1"/>
  <c r="C428" i="23" s="1"/>
  <c r="C473" i="23" s="1"/>
  <c r="C518" i="23" s="1"/>
  <c r="C563" i="23" s="1"/>
  <c r="C608" i="23" s="1"/>
  <c r="C653" i="23" s="1"/>
  <c r="C698" i="23" s="1"/>
  <c r="C788" i="23" s="1"/>
  <c r="C833" i="23" s="1"/>
  <c r="C294" i="23"/>
  <c r="C339" i="23" s="1"/>
  <c r="C384" i="23" s="1"/>
  <c r="C429" i="23" s="1"/>
  <c r="C474" i="23" s="1"/>
  <c r="C519" i="23" s="1"/>
  <c r="C564" i="23" s="1"/>
  <c r="C609" i="23" s="1"/>
  <c r="C654" i="23" s="1"/>
  <c r="C699" i="23" s="1"/>
  <c r="C789" i="23" s="1"/>
  <c r="C834" i="23" s="1"/>
  <c r="C295" i="23"/>
  <c r="C340" i="23" s="1"/>
  <c r="C296" i="23"/>
  <c r="C341" i="23" s="1"/>
  <c r="C386" i="23" s="1"/>
  <c r="C431" i="23" s="1"/>
  <c r="C476" i="23" s="1"/>
  <c r="C521" i="23" s="1"/>
  <c r="C566" i="23" s="1"/>
  <c r="C611" i="23" s="1"/>
  <c r="C656" i="23" s="1"/>
  <c r="C701" i="23" s="1"/>
  <c r="C791" i="23" s="1"/>
  <c r="C836" i="23" s="1"/>
  <c r="C297" i="23"/>
  <c r="C342" i="23" s="1"/>
  <c r="C387" i="23" s="1"/>
  <c r="C432" i="23" s="1"/>
  <c r="C477" i="23" s="1"/>
  <c r="C522" i="23" s="1"/>
  <c r="C567" i="23" s="1"/>
  <c r="C612" i="23" s="1"/>
  <c r="C657" i="23" s="1"/>
  <c r="C702" i="23" s="1"/>
  <c r="C792" i="23" s="1"/>
  <c r="C837" i="23" s="1"/>
  <c r="C298" i="23"/>
  <c r="C343" i="23" s="1"/>
  <c r="C388" i="23" s="1"/>
  <c r="C433" i="23" s="1"/>
  <c r="C478" i="23" s="1"/>
  <c r="C523" i="23" s="1"/>
  <c r="C568" i="23" s="1"/>
  <c r="C613" i="23" s="1"/>
  <c r="C299" i="23"/>
  <c r="C344" i="23" s="1"/>
  <c r="C389" i="23" s="1"/>
  <c r="C434" i="23" s="1"/>
  <c r="C479" i="23" s="1"/>
  <c r="C524" i="23" s="1"/>
  <c r="C569" i="23" s="1"/>
  <c r="C614" i="23" s="1"/>
  <c r="C659" i="23" s="1"/>
  <c r="C704" i="23" s="1"/>
  <c r="C794" i="23" s="1"/>
  <c r="C839" i="23" s="1"/>
  <c r="C795" i="23"/>
  <c r="C840" i="23" s="1"/>
  <c r="C279" i="23"/>
  <c r="C324" i="23" s="1"/>
  <c r="C369" i="23" s="1"/>
  <c r="C414" i="23" s="1"/>
  <c r="C459" i="23" s="1"/>
  <c r="C504" i="23" s="1"/>
  <c r="C549" i="23" s="1"/>
  <c r="C594" i="23" s="1"/>
  <c r="C639" i="23" s="1"/>
  <c r="C684" i="23" s="1"/>
  <c r="C774" i="23" s="1"/>
  <c r="C819" i="23" s="1"/>
  <c r="C884" i="23" l="1"/>
  <c r="C929" i="23" s="1"/>
  <c r="C974" i="23" s="1"/>
  <c r="C1019" i="23" s="1"/>
  <c r="C1064" i="23" s="1"/>
  <c r="C1109" i="23" s="1"/>
  <c r="C1154" i="23" s="1"/>
  <c r="C1199" i="23" s="1"/>
  <c r="C882" i="23"/>
  <c r="C927" i="23" s="1"/>
  <c r="C972" i="23" s="1"/>
  <c r="C1017" i="23" s="1"/>
  <c r="C1062" i="23" s="1"/>
  <c r="C1107" i="23" s="1"/>
  <c r="C1152" i="23" s="1"/>
  <c r="C1197" i="23" s="1"/>
  <c r="C878" i="23"/>
  <c r="C923" i="23" s="1"/>
  <c r="C968" i="23" s="1"/>
  <c r="C1013" i="23" s="1"/>
  <c r="C1058" i="23" s="1"/>
  <c r="C1103" i="23" s="1"/>
  <c r="C1148" i="23" s="1"/>
  <c r="C1193" i="23" s="1"/>
  <c r="C876" i="23"/>
  <c r="C921" i="23" s="1"/>
  <c r="C966" i="23" s="1"/>
  <c r="C1011" i="23" s="1"/>
  <c r="C1056" i="23" s="1"/>
  <c r="C1101" i="23" s="1"/>
  <c r="C1146" i="23" s="1"/>
  <c r="C1191" i="23" s="1"/>
  <c r="C874" i="23"/>
  <c r="C919" i="23" s="1"/>
  <c r="C964" i="23" s="1"/>
  <c r="C1009" i="23" s="1"/>
  <c r="C1054" i="23" s="1"/>
  <c r="C1099" i="23" s="1"/>
  <c r="C1144" i="23" s="1"/>
  <c r="C1189" i="23" s="1"/>
  <c r="C872" i="23"/>
  <c r="C917" i="23" s="1"/>
  <c r="C962" i="23" s="1"/>
  <c r="C1007" i="23" s="1"/>
  <c r="C1052" i="23" s="1"/>
  <c r="C1097" i="23" s="1"/>
  <c r="C1142" i="23" s="1"/>
  <c r="C1187" i="23" s="1"/>
  <c r="C870" i="23"/>
  <c r="C915" i="23" s="1"/>
  <c r="C960" i="23" s="1"/>
  <c r="C1005" i="23" s="1"/>
  <c r="C1050" i="23" s="1"/>
  <c r="C1095" i="23" s="1"/>
  <c r="C1140" i="23" s="1"/>
  <c r="C1185" i="23" s="1"/>
  <c r="C868" i="23"/>
  <c r="C913" i="23" s="1"/>
  <c r="C958" i="23" s="1"/>
  <c r="C1003" i="23" s="1"/>
  <c r="C1048" i="23" s="1"/>
  <c r="C1093" i="23" s="1"/>
  <c r="C1138" i="23" s="1"/>
  <c r="C1183" i="23" s="1"/>
  <c r="C866" i="23"/>
  <c r="C911" i="23" s="1"/>
  <c r="C956" i="23" s="1"/>
  <c r="C1001" i="23" s="1"/>
  <c r="C1046" i="23" s="1"/>
  <c r="C1091" i="23" s="1"/>
  <c r="C1136" i="23" s="1"/>
  <c r="C1181" i="23" s="1"/>
  <c r="C864" i="23"/>
  <c r="C909" i="23" s="1"/>
  <c r="C954" i="23" s="1"/>
  <c r="C999" i="23" s="1"/>
  <c r="C1044" i="23" s="1"/>
  <c r="C1089" i="23" s="1"/>
  <c r="C1134" i="23" s="1"/>
  <c r="C1179" i="23" s="1"/>
  <c r="C885" i="23"/>
  <c r="C930" i="23" s="1"/>
  <c r="C975" i="23" s="1"/>
  <c r="C1020" i="23" s="1"/>
  <c r="C1065" i="23" s="1"/>
  <c r="C1110" i="23" s="1"/>
  <c r="C1155" i="23" s="1"/>
  <c r="C1200" i="23" s="1"/>
  <c r="C881" i="23"/>
  <c r="C926" i="23" s="1"/>
  <c r="C971" i="23" s="1"/>
  <c r="C1016" i="23" s="1"/>
  <c r="C1061" i="23" s="1"/>
  <c r="C1106" i="23" s="1"/>
  <c r="C1151" i="23" s="1"/>
  <c r="C1196" i="23" s="1"/>
  <c r="C879" i="23"/>
  <c r="C924" i="23" s="1"/>
  <c r="C969" i="23" s="1"/>
  <c r="C1014" i="23" s="1"/>
  <c r="C1059" i="23" s="1"/>
  <c r="C1104" i="23" s="1"/>
  <c r="C1149" i="23" s="1"/>
  <c r="C1194" i="23" s="1"/>
  <c r="C877" i="23"/>
  <c r="C922" i="23" s="1"/>
  <c r="C967" i="23" s="1"/>
  <c r="C1012" i="23" s="1"/>
  <c r="C1057" i="23" s="1"/>
  <c r="C1102" i="23" s="1"/>
  <c r="C1147" i="23" s="1"/>
  <c r="C1192" i="23" s="1"/>
  <c r="C873" i="23"/>
  <c r="C918" i="23" s="1"/>
  <c r="C963" i="23" s="1"/>
  <c r="C1008" i="23" s="1"/>
  <c r="C1053" i="23" s="1"/>
  <c r="C1098" i="23" s="1"/>
  <c r="C1143" i="23" s="1"/>
  <c r="C1188" i="23" s="1"/>
  <c r="C871" i="23"/>
  <c r="C916" i="23" s="1"/>
  <c r="C961" i="23" s="1"/>
  <c r="C1006" i="23" s="1"/>
  <c r="C1051" i="23" s="1"/>
  <c r="C1096" i="23" s="1"/>
  <c r="C1141" i="23" s="1"/>
  <c r="C1186" i="23" s="1"/>
  <c r="C867" i="23"/>
  <c r="C912" i="23" s="1"/>
  <c r="C957" i="23" s="1"/>
  <c r="C1002" i="23" s="1"/>
  <c r="C1047" i="23" s="1"/>
  <c r="C1092" i="23" s="1"/>
  <c r="C1137" i="23" s="1"/>
  <c r="C1182" i="23" s="1"/>
  <c r="C865" i="23"/>
  <c r="C910" i="23" s="1"/>
  <c r="C955" i="23" s="1"/>
  <c r="C1000" i="23" s="1"/>
  <c r="C1045" i="23" s="1"/>
  <c r="C1090" i="23" s="1"/>
  <c r="C1135" i="23" s="1"/>
  <c r="C1180" i="23" s="1"/>
  <c r="C658" i="23"/>
  <c r="C703" i="23" s="1"/>
  <c r="C793" i="23" s="1"/>
  <c r="C838" i="23" s="1"/>
  <c r="C419" i="23"/>
  <c r="C464" i="23" s="1"/>
  <c r="C509" i="23" s="1"/>
  <c r="C554" i="23" s="1"/>
  <c r="C599" i="23" s="1"/>
  <c r="C644" i="23" s="1"/>
  <c r="C689" i="23" s="1"/>
  <c r="C779" i="23" s="1"/>
  <c r="C824" i="23" s="1"/>
  <c r="C290" i="23"/>
  <c r="C335" i="23" s="1"/>
  <c r="C380" i="23" s="1"/>
  <c r="C425" i="23" s="1"/>
  <c r="C470" i="23" s="1"/>
  <c r="C515" i="23" s="1"/>
  <c r="C560" i="23" s="1"/>
  <c r="C605" i="23" s="1"/>
  <c r="C650" i="23" s="1"/>
  <c r="C695" i="23" s="1"/>
  <c r="C785" i="23" s="1"/>
  <c r="C830" i="23" s="1"/>
  <c r="C385" i="23"/>
  <c r="C430" i="23" s="1"/>
  <c r="C475" i="23" s="1"/>
  <c r="C520" i="23" s="1"/>
  <c r="C565" i="23" s="1"/>
  <c r="C610" i="23" s="1"/>
  <c r="C655" i="23" s="1"/>
  <c r="C700" i="23" s="1"/>
  <c r="C790" i="23" s="1"/>
  <c r="C835" i="23" s="1"/>
  <c r="C1241" i="23" l="1"/>
  <c r="C1286" i="23" s="1"/>
  <c r="C1245" i="23"/>
  <c r="C1290" i="23" s="1"/>
  <c r="C1230" i="23"/>
  <c r="C1275" i="23" s="1"/>
  <c r="C1225" i="23"/>
  <c r="C1270" i="23" s="1"/>
  <c r="C1242" i="23"/>
  <c r="C1287" i="23" s="1"/>
  <c r="C1234" i="23"/>
  <c r="C1279" i="23" s="1"/>
  <c r="C1244" i="23"/>
  <c r="C1289" i="23" s="1"/>
  <c r="C1239" i="23"/>
  <c r="C1284" i="23" s="1"/>
  <c r="C1238" i="23"/>
  <c r="C1283" i="23" s="1"/>
  <c r="C1237" i="23"/>
  <c r="C1282" i="23" s="1"/>
  <c r="C1236" i="23"/>
  <c r="C1281" i="23" s="1"/>
  <c r="C1233" i="23"/>
  <c r="C1278" i="23" s="1"/>
  <c r="C1232" i="23"/>
  <c r="C1277" i="23" s="1"/>
  <c r="C1231" i="23"/>
  <c r="C1276" i="23" s="1"/>
  <c r="C1228" i="23"/>
  <c r="C1273" i="23" s="1"/>
  <c r="C1227" i="23"/>
  <c r="C1272" i="23" s="1"/>
  <c r="C1226" i="23"/>
  <c r="C1271" i="23" s="1"/>
  <c r="C1224" i="23"/>
  <c r="C1269" i="23" s="1"/>
  <c r="C880" i="23"/>
  <c r="C925" i="23" s="1"/>
  <c r="C970" i="23" s="1"/>
  <c r="C1015" i="23" s="1"/>
  <c r="C1060" i="23" s="1"/>
  <c r="C1105" i="23" s="1"/>
  <c r="C1150" i="23" s="1"/>
  <c r="C1195" i="23" s="1"/>
  <c r="C875" i="23"/>
  <c r="C920" i="23" s="1"/>
  <c r="C965" i="23" s="1"/>
  <c r="C1010" i="23" s="1"/>
  <c r="C1055" i="23" s="1"/>
  <c r="C1100" i="23" s="1"/>
  <c r="C1145" i="23" s="1"/>
  <c r="C1190" i="23" s="1"/>
  <c r="C883" i="23"/>
  <c r="C928" i="23" s="1"/>
  <c r="C973" i="23" s="1"/>
  <c r="C1018" i="23" s="1"/>
  <c r="C1063" i="23" s="1"/>
  <c r="C1108" i="23" s="1"/>
  <c r="C1153" i="23" s="1"/>
  <c r="C1198" i="23" s="1"/>
  <c r="C869" i="23"/>
  <c r="C914" i="23" s="1"/>
  <c r="C959" i="23" s="1"/>
  <c r="C1004" i="23" s="1"/>
  <c r="C1049" i="23" s="1"/>
  <c r="C1094" i="23" s="1"/>
  <c r="C1139" i="23" s="1"/>
  <c r="C1184" i="23" s="1"/>
  <c r="C1243" i="23" l="1"/>
  <c r="C1288" i="23" s="1"/>
  <c r="C1240" i="23"/>
  <c r="C1285" i="23" s="1"/>
  <c r="C1229" i="23"/>
  <c r="C1274" i="23" s="1"/>
  <c r="C1235" i="23"/>
  <c r="C1280" i="23" s="1"/>
  <c r="E4" i="1" l="1"/>
  <c r="D19" i="1"/>
  <c r="D1" i="2" l="1"/>
  <c r="D39" i="1"/>
  <c r="D38" i="1"/>
  <c r="D37" i="1"/>
  <c r="D31" i="1"/>
  <c r="E38" i="23" l="1"/>
  <c r="E39" i="23"/>
  <c r="I1" i="93"/>
  <c r="E37" i="23"/>
  <c r="I1" i="91"/>
  <c r="I1" i="92"/>
  <c r="E10" i="23"/>
  <c r="E12" i="23"/>
  <c r="E11" i="23"/>
  <c r="E13" i="23"/>
  <c r="E35" i="23"/>
  <c r="E16" i="23"/>
  <c r="E20" i="23"/>
  <c r="E24" i="23"/>
  <c r="E28" i="23"/>
  <c r="E32" i="23"/>
  <c r="E36" i="23"/>
  <c r="E17" i="23"/>
  <c r="E21" i="23"/>
  <c r="E25" i="23"/>
  <c r="E29" i="23"/>
  <c r="E33" i="23"/>
  <c r="E15" i="23"/>
  <c r="E19" i="23"/>
  <c r="E23" i="23"/>
  <c r="E27" i="23"/>
  <c r="E31" i="23"/>
  <c r="E14" i="23"/>
  <c r="E18" i="23"/>
  <c r="E22" i="23"/>
  <c r="E26" i="23"/>
  <c r="E30" i="23"/>
  <c r="E34" i="23"/>
  <c r="I1" i="90"/>
  <c r="I1" i="88"/>
  <c r="I1" i="89"/>
  <c r="I1" i="87"/>
  <c r="I1" i="86"/>
  <c r="D4" i="23"/>
  <c r="D228" i="23" s="1"/>
  <c r="I1" i="84"/>
  <c r="I1" i="80"/>
  <c r="E15" i="80" s="1"/>
  <c r="I1" i="79"/>
  <c r="E15" i="79" s="1"/>
  <c r="E16" i="79" s="1"/>
  <c r="I1" i="78"/>
  <c r="E15" i="78" s="1"/>
  <c r="I1" i="76"/>
  <c r="E8" i="76" s="1"/>
  <c r="E9" i="76" s="1"/>
  <c r="E10" i="76" s="1"/>
  <c r="E16" i="76" s="1"/>
  <c r="I1" i="77"/>
  <c r="E8" i="77" s="1"/>
  <c r="E9" i="77" s="1"/>
  <c r="E10" i="77" s="1"/>
  <c r="I1" i="73"/>
  <c r="E9" i="73" s="1"/>
  <c r="E10" i="73" s="1"/>
  <c r="E15" i="73" s="1"/>
  <c r="I1" i="74"/>
  <c r="E8" i="74" s="1"/>
  <c r="E9" i="74" s="1"/>
  <c r="E10" i="74" s="1"/>
  <c r="I1" i="71"/>
  <c r="E9" i="71" s="1"/>
  <c r="E10" i="71" s="1"/>
  <c r="E15" i="71" s="1"/>
  <c r="I1" i="72"/>
  <c r="E9" i="72" s="1"/>
  <c r="E10" i="72" s="1"/>
  <c r="I1" i="69"/>
  <c r="E9" i="69" s="1"/>
  <c r="E10" i="69" s="1"/>
  <c r="E16" i="69" s="1"/>
  <c r="I1" i="70"/>
  <c r="E9" i="70" s="1"/>
  <c r="I1" i="67"/>
  <c r="E9" i="67" s="1"/>
  <c r="E10" i="67" s="1"/>
  <c r="E13" i="67" s="1"/>
  <c r="I1" i="68"/>
  <c r="I1" i="66"/>
  <c r="E9" i="66" s="1"/>
  <c r="I1" i="64"/>
  <c r="E15" i="64" s="1"/>
  <c r="I1" i="63"/>
  <c r="E10" i="63" s="1"/>
  <c r="I1" i="61"/>
  <c r="I1" i="58"/>
  <c r="E9" i="58" s="1"/>
  <c r="E10" i="58" s="1"/>
  <c r="E12" i="58" s="1"/>
  <c r="E13" i="58" s="1"/>
  <c r="I1" i="56"/>
  <c r="E9" i="56" s="1"/>
  <c r="E10" i="56" s="1"/>
  <c r="E15" i="56" s="1"/>
  <c r="I1" i="52"/>
  <c r="E8" i="52" s="1"/>
  <c r="E10" i="52" s="1"/>
  <c r="E15" i="52" s="1"/>
  <c r="I1" i="53"/>
  <c r="I1" i="1"/>
  <c r="E16" i="80" l="1"/>
  <c r="E11" i="80"/>
  <c r="E12" i="80" s="1"/>
  <c r="E13" i="80" s="1"/>
  <c r="E14" i="80" s="1"/>
  <c r="E17" i="79"/>
  <c r="E12" i="79"/>
  <c r="E13" i="79" s="1"/>
  <c r="E18" i="79" s="1"/>
  <c r="E19" i="79" s="1"/>
  <c r="E20" i="79" s="1"/>
  <c r="E16" i="78"/>
  <c r="E17" i="78" s="1"/>
  <c r="E11" i="78"/>
  <c r="E13" i="78" s="1"/>
  <c r="E13" i="76"/>
  <c r="E20" i="76" s="1"/>
  <c r="E15" i="76"/>
  <c r="E15" i="77"/>
  <c r="E11" i="77"/>
  <c r="E12" i="77" s="1"/>
  <c r="E13" i="77" s="1"/>
  <c r="E16" i="77"/>
  <c r="E16" i="73"/>
  <c r="E17" i="73" s="1"/>
  <c r="E11" i="73"/>
  <c r="E12" i="73" s="1"/>
  <c r="E13" i="73" s="1"/>
  <c r="E14" i="73" s="1"/>
  <c r="E11" i="74"/>
  <c r="E13" i="74" s="1"/>
  <c r="E16" i="74"/>
  <c r="E15" i="74"/>
  <c r="E16" i="71"/>
  <c r="E11" i="71"/>
  <c r="E12" i="71" s="1"/>
  <c r="E13" i="71" s="1"/>
  <c r="E15" i="72"/>
  <c r="E16" i="72"/>
  <c r="E11" i="72"/>
  <c r="E12" i="72" s="1"/>
  <c r="E13" i="72" s="1"/>
  <c r="E11" i="69"/>
  <c r="E12" i="69" s="1"/>
  <c r="E13" i="69" s="1"/>
  <c r="E18" i="69" s="1"/>
  <c r="E20" i="69" s="1"/>
  <c r="E15" i="69"/>
  <c r="E16" i="70"/>
  <c r="E15" i="70"/>
  <c r="E12" i="70"/>
  <c r="E13" i="70" s="1"/>
  <c r="E10" i="68"/>
  <c r="E11" i="68" s="1"/>
  <c r="E13" i="68" s="1"/>
  <c r="E11" i="64"/>
  <c r="E13" i="64" s="1"/>
  <c r="E14" i="64" s="1"/>
  <c r="E20" i="67"/>
  <c r="E14" i="67"/>
  <c r="E15" i="66"/>
  <c r="E11" i="66"/>
  <c r="E12" i="66" s="1"/>
  <c r="E16" i="66"/>
  <c r="E16" i="64"/>
  <c r="E15" i="63"/>
  <c r="E11" i="63"/>
  <c r="E12" i="63" s="1"/>
  <c r="E13" i="63" s="1"/>
  <c r="E16" i="63"/>
  <c r="E17" i="63" s="1"/>
  <c r="E15" i="61"/>
  <c r="E13" i="61"/>
  <c r="E15" i="58"/>
  <c r="E16" i="58"/>
  <c r="E18" i="58" s="1"/>
  <c r="E19" i="58" s="1"/>
  <c r="E20" i="58" s="1"/>
  <c r="E16" i="56"/>
  <c r="E14" i="58"/>
  <c r="E11" i="56"/>
  <c r="E12" i="56" s="1"/>
  <c r="E13" i="56" s="1"/>
  <c r="E19" i="56"/>
  <c r="E16" i="52"/>
  <c r="E17" i="52" s="1"/>
  <c r="E11" i="52"/>
  <c r="E12" i="52" s="1"/>
  <c r="E13" i="52" s="1"/>
  <c r="E15" i="53"/>
  <c r="E11" i="53"/>
  <c r="E13" i="53" s="1"/>
  <c r="E16" i="53"/>
  <c r="E9" i="1"/>
  <c r="E10" i="1" s="1"/>
  <c r="E15" i="1" s="1"/>
  <c r="E16" i="1" s="1"/>
  <c r="D139" i="23"/>
  <c r="D318" i="23" s="1"/>
  <c r="D498" i="23" s="1"/>
  <c r="D678" i="23" s="1"/>
  <c r="D858" i="23" s="1"/>
  <c r="D1038" i="23" s="1"/>
  <c r="D1218" i="23" s="1"/>
  <c r="D94" i="23"/>
  <c r="D273" i="23" s="1"/>
  <c r="D453" i="23" s="1"/>
  <c r="D633" i="23" s="1"/>
  <c r="D813" i="23" s="1"/>
  <c r="D183" i="23"/>
  <c r="D363" i="23" s="1"/>
  <c r="D543" i="23" s="1"/>
  <c r="D723" i="23" s="1"/>
  <c r="D903" i="23" s="1"/>
  <c r="D1083" i="23" s="1"/>
  <c r="D1263" i="23" s="1"/>
  <c r="D49" i="23"/>
  <c r="D408" i="23"/>
  <c r="D588" i="23" s="1"/>
  <c r="D768" i="23" s="1"/>
  <c r="D948" i="23" s="1"/>
  <c r="D1128" i="23" s="1"/>
  <c r="D1308" i="23" s="1"/>
  <c r="E18" i="80" l="1"/>
  <c r="E19" i="80" s="1"/>
  <c r="E20" i="80" s="1"/>
  <c r="E24" i="80" s="1"/>
  <c r="E29" i="80" s="1"/>
  <c r="E30" i="80" s="1"/>
  <c r="E21" i="79"/>
  <c r="E23" i="79" s="1"/>
  <c r="E25" i="79" s="1"/>
  <c r="E24" i="79"/>
  <c r="E29" i="79" s="1"/>
  <c r="E30" i="79" s="1"/>
  <c r="E22" i="79"/>
  <c r="E19" i="78"/>
  <c r="E20" i="78" s="1"/>
  <c r="E23" i="78" s="1"/>
  <c r="E25" i="78" s="1"/>
  <c r="E14" i="78"/>
  <c r="E14" i="76"/>
  <c r="E14" i="77"/>
  <c r="E30" i="76"/>
  <c r="E22" i="76"/>
  <c r="E21" i="76"/>
  <c r="E25" i="76"/>
  <c r="E18" i="73"/>
  <c r="E19" i="73" s="1"/>
  <c r="E20" i="73" s="1"/>
  <c r="E22" i="73" s="1"/>
  <c r="E14" i="74"/>
  <c r="E20" i="74"/>
  <c r="E21" i="71"/>
  <c r="E14" i="71"/>
  <c r="E14" i="69"/>
  <c r="E14" i="72"/>
  <c r="E19" i="72"/>
  <c r="E16" i="68"/>
  <c r="E17" i="68" s="1"/>
  <c r="E15" i="68"/>
  <c r="E14" i="70"/>
  <c r="E19" i="70"/>
  <c r="E20" i="70" s="1"/>
  <c r="E24" i="69"/>
  <c r="E29" i="69" s="1"/>
  <c r="E19" i="64"/>
  <c r="E20" i="64" s="1"/>
  <c r="E24" i="64" s="1"/>
  <c r="E29" i="64" s="1"/>
  <c r="E14" i="68"/>
  <c r="E21" i="67"/>
  <c r="E24" i="67"/>
  <c r="E29" i="67" s="1"/>
  <c r="E30" i="67" s="1"/>
  <c r="E25" i="67"/>
  <c r="E22" i="67"/>
  <c r="E18" i="66"/>
  <c r="E19" i="66" s="1"/>
  <c r="E20" i="66" s="1"/>
  <c r="D993" i="23"/>
  <c r="D1173" i="23" s="1"/>
  <c r="D1353" i="23" s="1"/>
  <c r="E18" i="63"/>
  <c r="E14" i="63"/>
  <c r="E20" i="61"/>
  <c r="E21" i="56"/>
  <c r="E29" i="56"/>
  <c r="E30" i="56" s="1"/>
  <c r="E22" i="56"/>
  <c r="E18" i="52"/>
  <c r="E19" i="52" s="1"/>
  <c r="E20" i="52" s="1"/>
  <c r="E24" i="52" s="1"/>
  <c r="E19" i="53"/>
  <c r="E20" i="53" s="1"/>
  <c r="E14" i="53"/>
  <c r="E11" i="1"/>
  <c r="E12" i="1" s="1"/>
  <c r="E13" i="1" s="1"/>
  <c r="E17" i="1" s="1"/>
  <c r="E23" i="80" l="1"/>
  <c r="E25" i="80" s="1"/>
  <c r="E22" i="80"/>
  <c r="E21" i="80"/>
  <c r="E31" i="80"/>
  <c r="E32" i="80"/>
  <c r="E32" i="79"/>
  <c r="E31" i="79"/>
  <c r="E21" i="78"/>
  <c r="E22" i="78"/>
  <c r="E24" i="78"/>
  <c r="E29" i="78" s="1"/>
  <c r="E30" i="78" s="1"/>
  <c r="E24" i="73"/>
  <c r="E29" i="73" s="1"/>
  <c r="E30" i="73" s="1"/>
  <c r="E32" i="73" s="1"/>
  <c r="E24" i="77"/>
  <c r="E30" i="77" s="1"/>
  <c r="E22" i="77"/>
  <c r="E25" i="77"/>
  <c r="E21" i="77"/>
  <c r="E23" i="73"/>
  <c r="E25" i="73" s="1"/>
  <c r="E21" i="73"/>
  <c r="E31" i="76"/>
  <c r="E32" i="76"/>
  <c r="E22" i="71"/>
  <c r="E24" i="71"/>
  <c r="E30" i="71" s="1"/>
  <c r="E32" i="71" s="1"/>
  <c r="E24" i="74"/>
  <c r="E29" i="74" s="1"/>
  <c r="E30" i="74" s="1"/>
  <c r="E22" i="74"/>
  <c r="E21" i="74"/>
  <c r="E23" i="74"/>
  <c r="E25" i="74" s="1"/>
  <c r="E21" i="72"/>
  <c r="E24" i="72"/>
  <c r="E30" i="72" s="1"/>
  <c r="E22" i="72"/>
  <c r="E25" i="72"/>
  <c r="E24" i="70"/>
  <c r="E29" i="70" s="1"/>
  <c r="E30" i="70" s="1"/>
  <c r="E22" i="70"/>
  <c r="E21" i="70"/>
  <c r="E23" i="70"/>
  <c r="E31" i="69"/>
  <c r="E21" i="64"/>
  <c r="E22" i="64"/>
  <c r="E23" i="64"/>
  <c r="E25" i="64" s="1"/>
  <c r="E21" i="68"/>
  <c r="E29" i="68"/>
  <c r="E30" i="68" s="1"/>
  <c r="E25" i="68"/>
  <c r="E22" i="68"/>
  <c r="E32" i="67"/>
  <c r="E31" i="67"/>
  <c r="E21" i="66"/>
  <c r="E24" i="66"/>
  <c r="E25" i="66"/>
  <c r="E22" i="66"/>
  <c r="E31" i="64"/>
  <c r="E19" i="63"/>
  <c r="E20" i="63" s="1"/>
  <c r="E22" i="63"/>
  <c r="E21" i="61"/>
  <c r="E24" i="61"/>
  <c r="E22" i="61"/>
  <c r="E21" i="52"/>
  <c r="E22" i="52"/>
  <c r="E31" i="56"/>
  <c r="E24" i="53"/>
  <c r="E21" i="53"/>
  <c r="E22" i="53"/>
  <c r="E18" i="1"/>
  <c r="E19" i="1" s="1"/>
  <c r="E20" i="1" s="1"/>
  <c r="E14" i="1"/>
  <c r="E48" i="80" l="1"/>
  <c r="E33" i="80"/>
  <c r="E34" i="80"/>
  <c r="E36" i="80" s="1"/>
  <c r="E34" i="79"/>
  <c r="E36" i="79" s="1"/>
  <c r="E33" i="79"/>
  <c r="E48" i="79"/>
  <c r="E31" i="73"/>
  <c r="E31" i="71"/>
  <c r="E31" i="78"/>
  <c r="E32" i="78"/>
  <c r="E33" i="78" s="1"/>
  <c r="E31" i="77"/>
  <c r="E32" i="77"/>
  <c r="E33" i="76"/>
  <c r="E48" i="76"/>
  <c r="E34" i="76"/>
  <c r="E36" i="76" s="1"/>
  <c r="E31" i="74"/>
  <c r="E32" i="74"/>
  <c r="E48" i="73"/>
  <c r="E33" i="73"/>
  <c r="E34" i="73"/>
  <c r="E36" i="73" s="1"/>
  <c r="E31" i="72"/>
  <c r="E32" i="72"/>
  <c r="E34" i="71"/>
  <c r="E36" i="71" s="1"/>
  <c r="E33" i="71"/>
  <c r="E48" i="71"/>
  <c r="E32" i="70"/>
  <c r="E33" i="69"/>
  <c r="E48" i="69"/>
  <c r="E34" i="69"/>
  <c r="E31" i="68"/>
  <c r="E34" i="67"/>
  <c r="E36" i="67" s="1"/>
  <c r="E33" i="67"/>
  <c r="E48" i="67"/>
  <c r="E31" i="66"/>
  <c r="E34" i="64"/>
  <c r="E33" i="64"/>
  <c r="E48" i="64"/>
  <c r="E34" i="56"/>
  <c r="E33" i="56"/>
  <c r="E34" i="52"/>
  <c r="E33" i="52"/>
  <c r="E48" i="52"/>
  <c r="E22" i="1"/>
  <c r="E24" i="1"/>
  <c r="E29" i="1" s="1"/>
  <c r="E30" i="1" s="1"/>
  <c r="E21" i="1"/>
  <c r="E23" i="1"/>
  <c r="E40" i="80" l="1"/>
  <c r="E37" i="80"/>
  <c r="E51" i="80"/>
  <c r="E50" i="80"/>
  <c r="E49" i="80"/>
  <c r="E49" i="79"/>
  <c r="E51" i="79"/>
  <c r="E50" i="79"/>
  <c r="E37" i="79"/>
  <c r="E40" i="79"/>
  <c r="E48" i="78"/>
  <c r="E49" i="78" s="1"/>
  <c r="E34" i="78"/>
  <c r="E36" i="78" s="1"/>
  <c r="E37" i="78" s="1"/>
  <c r="E34" i="77"/>
  <c r="E36" i="77" s="1"/>
  <c r="E48" i="77"/>
  <c r="E33" i="77"/>
  <c r="E40" i="76"/>
  <c r="E37" i="76"/>
  <c r="E49" i="76"/>
  <c r="E51" i="76"/>
  <c r="E50" i="76"/>
  <c r="E33" i="74"/>
  <c r="E48" i="74"/>
  <c r="E34" i="74"/>
  <c r="E36" i="74" s="1"/>
  <c r="E37" i="73"/>
  <c r="E40" i="73"/>
  <c r="E51" i="73"/>
  <c r="E50" i="73"/>
  <c r="E49" i="73"/>
  <c r="E33" i="72"/>
  <c r="E34" i="72"/>
  <c r="E36" i="72" s="1"/>
  <c r="E49" i="71"/>
  <c r="E51" i="71"/>
  <c r="E50" i="71"/>
  <c r="E37" i="71"/>
  <c r="E40" i="71"/>
  <c r="E33" i="70"/>
  <c r="E48" i="70"/>
  <c r="E34" i="70"/>
  <c r="E36" i="70" s="1"/>
  <c r="E40" i="69"/>
  <c r="E37" i="69"/>
  <c r="E51" i="69"/>
  <c r="E50" i="69"/>
  <c r="E49" i="69"/>
  <c r="E34" i="68"/>
  <c r="E49" i="67"/>
  <c r="E51" i="67"/>
  <c r="E50" i="67"/>
  <c r="E37" i="67"/>
  <c r="E40" i="67"/>
  <c r="E34" i="66"/>
  <c r="E33" i="66"/>
  <c r="E48" i="66"/>
  <c r="E49" i="64"/>
  <c r="E51" i="64"/>
  <c r="E50" i="64"/>
  <c r="E37" i="64"/>
  <c r="E40" i="64"/>
  <c r="E33" i="63"/>
  <c r="E36" i="61"/>
  <c r="E48" i="61"/>
  <c r="E49" i="58"/>
  <c r="E51" i="58"/>
  <c r="E50" i="58"/>
  <c r="E37" i="58"/>
  <c r="E40" i="58"/>
  <c r="E49" i="56"/>
  <c r="E51" i="56"/>
  <c r="E50" i="56"/>
  <c r="E40" i="56"/>
  <c r="E49" i="52"/>
  <c r="E51" i="52"/>
  <c r="E50" i="52"/>
  <c r="E31" i="1"/>
  <c r="E32" i="1"/>
  <c r="E25" i="1"/>
  <c r="E51" i="78" l="1"/>
  <c r="E38" i="80"/>
  <c r="E39" i="80"/>
  <c r="E41" i="80" s="1"/>
  <c r="E44" i="80"/>
  <c r="E43" i="80" s="1"/>
  <c r="E42" i="80"/>
  <c r="E42" i="79"/>
  <c r="E44" i="79"/>
  <c r="E43" i="79" s="1"/>
  <c r="E39" i="79"/>
  <c r="E41" i="79" s="1"/>
  <c r="E38" i="79"/>
  <c r="E50" i="78"/>
  <c r="E40" i="78"/>
  <c r="E39" i="78"/>
  <c r="E41" i="78" s="1"/>
  <c r="E38" i="78"/>
  <c r="E49" i="77"/>
  <c r="E51" i="77"/>
  <c r="E50" i="77"/>
  <c r="E37" i="77"/>
  <c r="E40" i="77"/>
  <c r="E38" i="76"/>
  <c r="E39" i="76"/>
  <c r="E41" i="76" s="1"/>
  <c r="E44" i="76"/>
  <c r="E43" i="76" s="1"/>
  <c r="E42" i="76"/>
  <c r="E37" i="74"/>
  <c r="E40" i="74"/>
  <c r="E49" i="74"/>
  <c r="E51" i="74"/>
  <c r="E50" i="74"/>
  <c r="E44" i="73"/>
  <c r="E43" i="73" s="1"/>
  <c r="E42" i="73"/>
  <c r="E38" i="73"/>
  <c r="E39" i="73"/>
  <c r="E41" i="73" s="1"/>
  <c r="E51" i="72"/>
  <c r="E50" i="72"/>
  <c r="E49" i="72"/>
  <c r="E40" i="72"/>
  <c r="E37" i="72"/>
  <c r="E39" i="71"/>
  <c r="E41" i="71" s="1"/>
  <c r="E38" i="71"/>
  <c r="E42" i="71"/>
  <c r="E44" i="71"/>
  <c r="E43" i="71" s="1"/>
  <c r="E40" i="70"/>
  <c r="E37" i="70"/>
  <c r="E51" i="70"/>
  <c r="E50" i="70"/>
  <c r="E49" i="70"/>
  <c r="E38" i="69"/>
  <c r="E39" i="69"/>
  <c r="E41" i="69" s="1"/>
  <c r="E44" i="69"/>
  <c r="E43" i="69" s="1"/>
  <c r="E42" i="69"/>
  <c r="E49" i="68"/>
  <c r="E51" i="68"/>
  <c r="E50" i="68"/>
  <c r="E40" i="68"/>
  <c r="E39" i="67"/>
  <c r="E41" i="67" s="1"/>
  <c r="E38" i="67"/>
  <c r="E42" i="67"/>
  <c r="E44" i="67"/>
  <c r="E43" i="67" s="1"/>
  <c r="E49" i="66"/>
  <c r="E51" i="66"/>
  <c r="E50" i="66"/>
  <c r="E37" i="66"/>
  <c r="E40" i="66"/>
  <c r="E39" i="64"/>
  <c r="E41" i="64" s="1"/>
  <c r="E38" i="64"/>
  <c r="E42" i="64"/>
  <c r="E44" i="64"/>
  <c r="E43" i="64" s="1"/>
  <c r="E49" i="63"/>
  <c r="E51" i="63"/>
  <c r="E50" i="63"/>
  <c r="E37" i="63"/>
  <c r="E40" i="63"/>
  <c r="E49" i="61"/>
  <c r="E51" i="61"/>
  <c r="E50" i="61"/>
  <c r="E37" i="61"/>
  <c r="E40" i="61"/>
  <c r="E39" i="58"/>
  <c r="E41" i="58" s="1"/>
  <c r="E38" i="58"/>
  <c r="E42" i="58"/>
  <c r="E44" i="58"/>
  <c r="E43" i="58" s="1"/>
  <c r="E39" i="56"/>
  <c r="E41" i="56" s="1"/>
  <c r="E38" i="56"/>
  <c r="E42" i="56"/>
  <c r="E43" i="56"/>
  <c r="E39" i="52"/>
  <c r="E41" i="52" s="1"/>
  <c r="E38" i="52"/>
  <c r="E42" i="52"/>
  <c r="E44" i="52"/>
  <c r="E43" i="52" s="1"/>
  <c r="E33" i="1"/>
  <c r="E34" i="1"/>
  <c r="E36" i="1" s="1"/>
  <c r="E48" i="1"/>
  <c r="E49" i="1" s="1"/>
  <c r="E43" i="78" l="1"/>
  <c r="E39" i="77"/>
  <c r="E41" i="77" s="1"/>
  <c r="E38" i="77"/>
  <c r="E42" i="77"/>
  <c r="E44" i="77"/>
  <c r="E43" i="77" s="1"/>
  <c r="E44" i="74"/>
  <c r="E43" i="74" s="1"/>
  <c r="E42" i="74"/>
  <c r="E38" i="74"/>
  <c r="E39" i="74"/>
  <c r="E41" i="74" s="1"/>
  <c r="E44" i="72"/>
  <c r="E43" i="72" s="1"/>
  <c r="E42" i="72"/>
  <c r="E38" i="72"/>
  <c r="E39" i="72"/>
  <c r="E41" i="72" s="1"/>
  <c r="E38" i="70"/>
  <c r="E39" i="70"/>
  <c r="E41" i="70" s="1"/>
  <c r="E44" i="70"/>
  <c r="E43" i="70" s="1"/>
  <c r="E42" i="70"/>
  <c r="E39" i="68"/>
  <c r="E41" i="68" s="1"/>
  <c r="E38" i="68"/>
  <c r="E42" i="68"/>
  <c r="E44" i="68"/>
  <c r="E43" i="68" s="1"/>
  <c r="E39" i="66"/>
  <c r="E41" i="66" s="1"/>
  <c r="E38" i="66"/>
  <c r="E42" i="66"/>
  <c r="E44" i="66"/>
  <c r="E43" i="66" s="1"/>
  <c r="E39" i="63"/>
  <c r="E41" i="63" s="1"/>
  <c r="E38" i="63"/>
  <c r="E42" i="63"/>
  <c r="E44" i="63"/>
  <c r="E43" i="63" s="1"/>
  <c r="E39" i="61"/>
  <c r="E41" i="61" s="1"/>
  <c r="E38" i="61"/>
  <c r="E42" i="61"/>
  <c r="E44" i="61"/>
  <c r="E43" i="61" s="1"/>
  <c r="E40" i="1"/>
  <c r="E37" i="1"/>
  <c r="E50" i="1"/>
  <c r="E51" i="1"/>
  <c r="E42" i="1" l="1"/>
  <c r="E44" i="1"/>
  <c r="E43" i="1" s="1"/>
  <c r="E38" i="1"/>
  <c r="E39" i="1"/>
  <c r="E41" i="1" l="1"/>
</calcChain>
</file>

<file path=xl/sharedStrings.xml><?xml version="1.0" encoding="utf-8"?>
<sst xmlns="http://schemas.openxmlformats.org/spreadsheetml/2006/main" count="6137" uniqueCount="376">
  <si>
    <t xml:space="preserve">Suivi de chantier </t>
  </si>
  <si>
    <t>SEMAINE</t>
  </si>
  <si>
    <t>Client :</t>
  </si>
  <si>
    <t>Demarré le :</t>
  </si>
  <si>
    <t>Prévision clos couvert :</t>
  </si>
  <si>
    <t>Type d'intervention</t>
  </si>
  <si>
    <t>Entreprise</t>
  </si>
  <si>
    <t>S</t>
  </si>
  <si>
    <t xml:space="preserve">   Date</t>
  </si>
  <si>
    <t xml:space="preserve"> </t>
  </si>
  <si>
    <t>Remblaiement</t>
  </si>
  <si>
    <t>Pose Echafaudage</t>
  </si>
  <si>
    <t>Charpente</t>
  </si>
  <si>
    <t>Etanchéité</t>
  </si>
  <si>
    <t>Dépose échafaudage</t>
  </si>
  <si>
    <t>date</t>
  </si>
  <si>
    <t>Electricité avant chape</t>
  </si>
  <si>
    <t>Sanitaire avant chape</t>
  </si>
  <si>
    <t>Aspiration</t>
  </si>
  <si>
    <t>Chape</t>
  </si>
  <si>
    <t>Finition plâtrerie</t>
  </si>
  <si>
    <t>Finition  électricien</t>
  </si>
  <si>
    <t>Finition sanitaire</t>
  </si>
  <si>
    <t>Revêtements de sols</t>
  </si>
  <si>
    <t>Revêtements muraux</t>
  </si>
  <si>
    <t>Finition chauffage</t>
  </si>
  <si>
    <t>Crépis fond</t>
  </si>
  <si>
    <t>Crépis teinte</t>
  </si>
  <si>
    <t>Réunion client :</t>
  </si>
  <si>
    <t>réunion</t>
  </si>
  <si>
    <t>état</t>
  </si>
  <si>
    <t>RDV clos couvert</t>
  </si>
  <si>
    <t>Réception</t>
  </si>
  <si>
    <t>Commentaire :</t>
  </si>
  <si>
    <t>Avancement</t>
  </si>
  <si>
    <t>En cours</t>
  </si>
  <si>
    <t>Réalisé</t>
  </si>
  <si>
    <t>Date</t>
  </si>
  <si>
    <t>TEMA</t>
  </si>
  <si>
    <t>AKTAS</t>
  </si>
  <si>
    <t>BAYARD</t>
  </si>
  <si>
    <t>GABEL</t>
  </si>
  <si>
    <t>OTT</t>
  </si>
  <si>
    <t>SOPREMA</t>
  </si>
  <si>
    <t>NEUMEYER</t>
  </si>
  <si>
    <t>HILZINGER</t>
  </si>
  <si>
    <t>DEGRIFF</t>
  </si>
  <si>
    <t>SOARES</t>
  </si>
  <si>
    <t>GROSS</t>
  </si>
  <si>
    <t>BENELEC</t>
  </si>
  <si>
    <t>HERTFELDER</t>
  </si>
  <si>
    <t>EKOTHERM</t>
  </si>
  <si>
    <t>BECK</t>
  </si>
  <si>
    <t>CARRELAGE DE L'EST</t>
  </si>
  <si>
    <t>BECHTEL</t>
  </si>
  <si>
    <t>KOVACIC</t>
  </si>
  <si>
    <t>FMS</t>
  </si>
  <si>
    <t>TASTEPER</t>
  </si>
  <si>
    <t>AU COIN DU FEU</t>
  </si>
  <si>
    <t>Couverture</t>
  </si>
  <si>
    <t>Zinguerie</t>
  </si>
  <si>
    <t>Ferronnerie</t>
  </si>
  <si>
    <t>Assainissement</t>
  </si>
  <si>
    <t>Commentaires</t>
  </si>
  <si>
    <t>A CHARGE CLIENT</t>
  </si>
  <si>
    <t>_</t>
  </si>
  <si>
    <t>Electricité avant plâtre</t>
  </si>
  <si>
    <t>Plâtrerie montage</t>
  </si>
  <si>
    <t>NON CONCERNÉ</t>
  </si>
  <si>
    <t>Peinture des boiseries</t>
  </si>
  <si>
    <t>Non compris</t>
  </si>
  <si>
    <t>A charge client</t>
  </si>
  <si>
    <t>Permis reçu le :</t>
  </si>
  <si>
    <t>Rampannage</t>
  </si>
  <si>
    <t>SOBATRA</t>
  </si>
  <si>
    <t>FRAIS DE MÉTRÉ</t>
  </si>
  <si>
    <t>RETOUR MARCHÉ</t>
  </si>
  <si>
    <t>ENTREPRISE</t>
  </si>
  <si>
    <t>CLIENTS</t>
  </si>
  <si>
    <t>STADE D'AVANCEMENT</t>
  </si>
  <si>
    <t>PLANNING BERAL</t>
  </si>
  <si>
    <t>Entreprises</t>
  </si>
  <si>
    <t>abc.aktas@gmail.com</t>
  </si>
  <si>
    <t>aucoindufeualsace@orange.fr</t>
  </si>
  <si>
    <t>ch.bayard@wanadoo.fr</t>
  </si>
  <si>
    <t>yves.bechtel@orange.fr</t>
  </si>
  <si>
    <t>contact@beckchape.fr</t>
  </si>
  <si>
    <t>benelec@orange.fr</t>
  </si>
  <si>
    <t>carrelagedelest@hotmail.fr</t>
  </si>
  <si>
    <t>electro.hecker@gmail.com</t>
  </si>
  <si>
    <t>ELECTRO HECKER</t>
  </si>
  <si>
    <t>cédric glaas</t>
  </si>
  <si>
    <t>eko63@hotmail.fr</t>
  </si>
  <si>
    <t>didier.hertfelder@wanadoo.fr</t>
  </si>
  <si>
    <t>kovacic.pose@orange.fr</t>
  </si>
  <si>
    <t xml:space="preserve">kovacic.contact@orange.fr  </t>
  </si>
  <si>
    <t>owurth@soprema.fr</t>
  </si>
  <si>
    <t>tasteper.sas@live.fr</t>
  </si>
  <si>
    <t>tema67100@hotmail.fr</t>
  </si>
  <si>
    <t>mail</t>
  </si>
  <si>
    <t>vincent-padowicz@beral.fr</t>
  </si>
  <si>
    <t>charpente.gabel@wanadoo.fr</t>
  </si>
  <si>
    <t>jacky.gross2@wanadoo.fr</t>
  </si>
  <si>
    <t>finitions</t>
  </si>
  <si>
    <t>sobatra2@wanadoo.fr</t>
  </si>
  <si>
    <t>cedric.glaas@icloud.com</t>
  </si>
  <si>
    <t>Localité :</t>
  </si>
  <si>
    <t>Total</t>
  </si>
  <si>
    <t>Reste</t>
  </si>
  <si>
    <t>réalisé</t>
  </si>
  <si>
    <t>borgerdecoration@yahoo.fr</t>
  </si>
  <si>
    <t>BORGER DECO</t>
  </si>
  <si>
    <t>entr.neumeyer@orange.fr</t>
  </si>
  <si>
    <t>debesconstruction@orange.fr</t>
  </si>
  <si>
    <t>DEBÈS CONSTRUCTION</t>
  </si>
  <si>
    <t>RÉCAPITULATIF CHANTIERS - AVANCEMENT</t>
  </si>
  <si>
    <t>HANGENBIETEN</t>
  </si>
  <si>
    <t>Commercial :</t>
  </si>
  <si>
    <t>Commerciaux</t>
  </si>
  <si>
    <t>GK</t>
  </si>
  <si>
    <t>FM</t>
  </si>
  <si>
    <t>J-FD</t>
  </si>
  <si>
    <t>Réunion MAP</t>
  </si>
  <si>
    <t>RDV implantation</t>
  </si>
  <si>
    <t>Fondations</t>
  </si>
  <si>
    <t>PFETTISHEIM</t>
  </si>
  <si>
    <t>OBSERVATIONS</t>
  </si>
  <si>
    <t>préparation avant chape</t>
  </si>
  <si>
    <t>MEYER</t>
  </si>
  <si>
    <t>meyer.energies67@gmail.com</t>
  </si>
  <si>
    <t>MEYER ENERGIES</t>
  </si>
  <si>
    <t>Murs béton banchés</t>
  </si>
  <si>
    <t>Dalle basse RDC</t>
  </si>
  <si>
    <t>Maçonnerie RDC</t>
  </si>
  <si>
    <t>dalle haute RDC</t>
  </si>
  <si>
    <t>Maçonnerie pignons</t>
  </si>
  <si>
    <t>Dallage</t>
  </si>
  <si>
    <t>Porte de garage/de service</t>
  </si>
  <si>
    <t>Menuiserie extérieure</t>
  </si>
  <si>
    <t>Menuiserie intérieure</t>
  </si>
  <si>
    <t>Isolation de sol</t>
  </si>
  <si>
    <t>Chauffage</t>
  </si>
  <si>
    <t>Délai de construction final :</t>
  </si>
  <si>
    <t>Temps effectif de construction :</t>
  </si>
  <si>
    <t>SECOND ŒUVRE</t>
  </si>
  <si>
    <t>GROS ŒUVRE</t>
  </si>
  <si>
    <t>EXTÉRIEUR</t>
  </si>
  <si>
    <t>Stratifié</t>
  </si>
  <si>
    <t>prévisionnel</t>
  </si>
  <si>
    <t>laetitia.e@fm-s.eu</t>
  </si>
  <si>
    <t>dalmelet@soprema.fr</t>
  </si>
  <si>
    <t>KILSTETT</t>
  </si>
  <si>
    <t>MOREAU</t>
  </si>
  <si>
    <t>PECHEUR - RIPOL</t>
  </si>
  <si>
    <t>TERRASSEMENT +FOUILLE CLIENT</t>
  </si>
  <si>
    <t>WILDERSBACH</t>
  </si>
  <si>
    <t>estimatif</t>
  </si>
  <si>
    <t>BISCHWILLER</t>
  </si>
  <si>
    <t>attente ingéniérie béton par client</t>
  </si>
  <si>
    <t>ENTZHEIM</t>
  </si>
  <si>
    <t>Poêle à bois</t>
  </si>
  <si>
    <t>MARTOS</t>
  </si>
  <si>
    <t>MICHEL-SCHWARTZ</t>
  </si>
  <si>
    <t>OSTERTAG-RICHERT</t>
  </si>
  <si>
    <t>WOOCK-HISLER</t>
  </si>
  <si>
    <t>OBERMODERN</t>
  </si>
  <si>
    <t>prévionnel</t>
  </si>
  <si>
    <t>OTEC</t>
  </si>
  <si>
    <t>gilles@otec-iden.com</t>
  </si>
  <si>
    <t>caroline@otec-iden.com</t>
  </si>
  <si>
    <t>assurance 2018</t>
  </si>
  <si>
    <t>x</t>
  </si>
  <si>
    <t>Maçonnerie étage</t>
  </si>
  <si>
    <t>PETTERSBACH</t>
  </si>
  <si>
    <t>ALFIX</t>
  </si>
  <si>
    <t>sarah.riehl@alfixfrance.fr</t>
  </si>
  <si>
    <t>INDUSTRIE SERVICE</t>
  </si>
  <si>
    <t>dklein@industrieservice.fr</t>
  </si>
  <si>
    <t>Poêle</t>
  </si>
  <si>
    <t>BOUNYAVET</t>
  </si>
  <si>
    <t>ROMILLY</t>
  </si>
  <si>
    <t>WETZEL</t>
  </si>
  <si>
    <t>gsistel@soprema.fr</t>
  </si>
  <si>
    <t>chantier en arrêt à partir de S11</t>
  </si>
  <si>
    <t>Accrotère</t>
  </si>
  <si>
    <t>MEUNIER-SCHLEWITZ</t>
  </si>
  <si>
    <t>Dalle haute étage</t>
  </si>
  <si>
    <t>EBERSHEIM</t>
  </si>
  <si>
    <t>prévisionel</t>
  </si>
  <si>
    <t>EURO ECHAFAUDAGE</t>
  </si>
  <si>
    <t>rodolphe@euroechafaudage.fr</t>
  </si>
  <si>
    <t>Maçonnerie ÉTAGE</t>
  </si>
  <si>
    <t>ACCROTÈRE</t>
  </si>
  <si>
    <t>Dalle haute ÉTAGE</t>
  </si>
  <si>
    <t>Carrelage</t>
  </si>
  <si>
    <t>LUTZELHOUSE</t>
  </si>
  <si>
    <t>EURO-PORTES</t>
  </si>
  <si>
    <t>DAVE</t>
  </si>
  <si>
    <t>GAEHLER</t>
  </si>
  <si>
    <t>KEISER</t>
  </si>
  <si>
    <t>LEHMANN-VIXX</t>
  </si>
  <si>
    <t>REPPERT</t>
  </si>
  <si>
    <t>SCHMITT</t>
  </si>
  <si>
    <t>ottquentin67@gmail.com</t>
  </si>
  <si>
    <t>SA3 BÂTIMENT</t>
  </si>
  <si>
    <t>sa3batiment@gmail.com</t>
  </si>
  <si>
    <t>ABISOL</t>
  </si>
  <si>
    <t>abisol-chape@hotmail.fr</t>
  </si>
  <si>
    <t>DANACI</t>
  </si>
  <si>
    <t>BATITOUT 67</t>
  </si>
  <si>
    <t>PFEFTTISHEIM</t>
  </si>
  <si>
    <t>BUST</t>
  </si>
  <si>
    <t>KINDWILLER</t>
  </si>
  <si>
    <t>BATAILLE</t>
  </si>
  <si>
    <t>ROSKIC</t>
  </si>
  <si>
    <t>chantier en arrêt</t>
  </si>
  <si>
    <t>ESCHBACH</t>
  </si>
  <si>
    <t>Attente étude de sol et béton</t>
  </si>
  <si>
    <t>NIESS</t>
  </si>
  <si>
    <t>prise de mesure</t>
  </si>
  <si>
    <t>pose</t>
  </si>
  <si>
    <t>chape</t>
  </si>
  <si>
    <t>sanitaire avant chape</t>
  </si>
  <si>
    <t>carlos.soares74@sfr.fr</t>
  </si>
  <si>
    <t>murielle.graff@hilzinger.fr</t>
  </si>
  <si>
    <t>info@beral.fr</t>
  </si>
  <si>
    <t>sarl-batitout-67@laposte,net</t>
  </si>
  <si>
    <t>PK CONCEPTS</t>
  </si>
  <si>
    <t>zinguerie</t>
  </si>
  <si>
    <t>montage plâtrerie</t>
  </si>
  <si>
    <t>finition</t>
  </si>
  <si>
    <t>crépis fond</t>
  </si>
  <si>
    <t>X</t>
  </si>
  <si>
    <t>GERSTHEIM</t>
  </si>
  <si>
    <t>STRASBOURG</t>
  </si>
  <si>
    <t>KLEINFRANKENHEIM</t>
  </si>
  <si>
    <t>s37</t>
  </si>
  <si>
    <t>PV</t>
  </si>
  <si>
    <t>prise de mesures</t>
  </si>
  <si>
    <t>pose menuiserie extérieure</t>
  </si>
  <si>
    <t>commercial.tp@danacisarl.com</t>
  </si>
  <si>
    <t>finitions électricité</t>
  </si>
  <si>
    <t>SAV</t>
  </si>
  <si>
    <t>AVENHEIM</t>
  </si>
  <si>
    <t>Prévisionel</t>
  </si>
  <si>
    <t>S37</t>
  </si>
  <si>
    <t>S29</t>
  </si>
  <si>
    <t>S46</t>
  </si>
  <si>
    <t>ZYTO</t>
  </si>
  <si>
    <t>contact@pk-concept.fr</t>
  </si>
  <si>
    <t>manque PF + F WC</t>
  </si>
  <si>
    <t>modif linteau PF</t>
  </si>
  <si>
    <t>NOM</t>
  </si>
  <si>
    <t>FM Total</t>
  </si>
  <si>
    <t>FM Encaissé</t>
  </si>
  <si>
    <t>Solde</t>
  </si>
  <si>
    <t>LAUTH-ROCH</t>
  </si>
  <si>
    <t>DINSHEIM</t>
  </si>
  <si>
    <t>*</t>
  </si>
  <si>
    <t>BREMENT</t>
  </si>
  <si>
    <t>à receptionner</t>
  </si>
  <si>
    <t xml:space="preserve">Fondations </t>
  </si>
  <si>
    <t>moteur</t>
  </si>
  <si>
    <t>soubassement</t>
  </si>
  <si>
    <t>rempannage</t>
  </si>
  <si>
    <t>réglage général</t>
  </si>
  <si>
    <t>reprise échafaudage</t>
  </si>
  <si>
    <t>reprendre aplomb descente de gouttière à l'avant (2X)</t>
  </si>
  <si>
    <t>pose chauffage sol</t>
  </si>
  <si>
    <t>sarl-batitout-67@laposte.net</t>
  </si>
  <si>
    <t>Berstheim</t>
  </si>
  <si>
    <t>HABITAT DE L'ORANGERIE</t>
  </si>
  <si>
    <t>habitatdelorangerie@free.fr</t>
  </si>
  <si>
    <t>BREUSCHWICKERSHEIM</t>
  </si>
  <si>
    <t>BLIENSCHWILLER</t>
  </si>
  <si>
    <t>attente assainissement sous dalle</t>
  </si>
  <si>
    <t>Tasteper</t>
  </si>
  <si>
    <t>FRIEDOLSHEIM</t>
  </si>
  <si>
    <t>BECK-HUMMEL</t>
  </si>
  <si>
    <t>BOUDISS</t>
  </si>
  <si>
    <t>DUSSART</t>
  </si>
  <si>
    <t>HACQUIN</t>
  </si>
  <si>
    <t>SCHNEIDER-GOBERT</t>
  </si>
  <si>
    <t>pignons</t>
  </si>
  <si>
    <t>couvert</t>
  </si>
  <si>
    <t>GO fini</t>
  </si>
  <si>
    <t>second œuvre en cours charge client</t>
  </si>
  <si>
    <t>41</t>
  </si>
  <si>
    <t>Dalle haute Étage</t>
  </si>
  <si>
    <t>HENGWILLER</t>
  </si>
  <si>
    <t>dalle basse RDC</t>
  </si>
  <si>
    <t>chape s42</t>
  </si>
  <si>
    <t>clos couvert</t>
  </si>
  <si>
    <t>chape s41</t>
  </si>
  <si>
    <t>LOCALISATION</t>
  </si>
  <si>
    <t>BERSTHEIM</t>
  </si>
  <si>
    <t>GERTSHEIM</t>
  </si>
  <si>
    <t>HANGENBIENTEN</t>
  </si>
  <si>
    <t>OBERHOFFEN</t>
  </si>
  <si>
    <t>DINSHEIM S/ BRUCHE</t>
  </si>
  <si>
    <t>PETERSBACH</t>
  </si>
  <si>
    <t>OBERMODERN-ZUTZENDORF</t>
  </si>
  <si>
    <t>Pose poêle à bois</t>
  </si>
  <si>
    <t>CHOIX POÊLE AVEC CLIENT</t>
  </si>
  <si>
    <t>POSE POÊLE</t>
  </si>
  <si>
    <t>POSE CHARPENTE</t>
  </si>
  <si>
    <t>EN COURS AU MOMENT DE CET ENVOI</t>
  </si>
  <si>
    <t>ME CONTACTER SI LES CLIENTES VOUS APPELLE</t>
  </si>
  <si>
    <t>sur cale</t>
  </si>
  <si>
    <t>42/43</t>
  </si>
  <si>
    <t>dalle basse RC</t>
  </si>
  <si>
    <t>encastrement maçonnerie</t>
  </si>
  <si>
    <t>Chantier en arrêt</t>
  </si>
  <si>
    <t>revêtements de sols</t>
  </si>
  <si>
    <t>POSE PRÉVUE S10 - 2019</t>
  </si>
  <si>
    <t>POSE PRÉVUE S4 - 2019</t>
  </si>
  <si>
    <t>finir dossier</t>
  </si>
  <si>
    <t>date pour expertise?</t>
  </si>
  <si>
    <t>à partir du 17/10</t>
  </si>
  <si>
    <t>pose menuiserie</t>
  </si>
  <si>
    <t>Me confirmer la date merci</t>
  </si>
  <si>
    <t>maçon Batitout 67</t>
  </si>
  <si>
    <t>maçon Habitat de l'Orangerie</t>
  </si>
  <si>
    <t>maçon Tema</t>
  </si>
  <si>
    <t>encastrement plâtre</t>
  </si>
  <si>
    <t>maçon Danaci</t>
  </si>
  <si>
    <t>dalles</t>
  </si>
  <si>
    <t>réglage + moteur</t>
  </si>
  <si>
    <t xml:space="preserve">chantier en arrêt </t>
  </si>
  <si>
    <t>mesure possible</t>
  </si>
  <si>
    <t>moteur + réglage</t>
  </si>
  <si>
    <t>charpente</t>
  </si>
  <si>
    <t>fondations</t>
  </si>
  <si>
    <t>murs soubassement</t>
  </si>
  <si>
    <t>maçonnerie RDC</t>
  </si>
  <si>
    <t>electricien Electro Hecker</t>
  </si>
  <si>
    <t>electricien Benelec 0608561154</t>
  </si>
  <si>
    <t>du 10 au 12 octobre</t>
  </si>
  <si>
    <t>rempannage + poteau sous-sol</t>
  </si>
  <si>
    <t>echafaudage S42</t>
  </si>
  <si>
    <t>joint bas fenêtre cuisine à changer</t>
  </si>
  <si>
    <t>ME CONTACTER SI LES CLIENT VOUS APPELLE</t>
  </si>
  <si>
    <t>pose echaffaudage</t>
  </si>
  <si>
    <t>reprise echafaudage</t>
  </si>
  <si>
    <t>Eurchristel@euroechafaudage.fr</t>
  </si>
  <si>
    <t>réglage bâti support</t>
  </si>
  <si>
    <t>couverture-zinguerie</t>
  </si>
  <si>
    <t>finition chaffage</t>
  </si>
  <si>
    <t>pose echafaudage</t>
  </si>
  <si>
    <t>manque couvertine</t>
  </si>
  <si>
    <t>sous-traitance Ishan</t>
  </si>
  <si>
    <t>sous-traitance Ishan, dès le18</t>
  </si>
  <si>
    <t>DATE DEMANDÉE</t>
  </si>
  <si>
    <t>S45</t>
  </si>
  <si>
    <t>FOURNIES PAR LE CLIENT</t>
  </si>
  <si>
    <t>DATES</t>
  </si>
  <si>
    <t>muriel.p@fm-s.eu</t>
  </si>
  <si>
    <t>LAPORTE</t>
  </si>
  <si>
    <t>MOLSHEIM</t>
  </si>
  <si>
    <t>Implantation-terrassement</t>
  </si>
  <si>
    <t>42-43</t>
  </si>
  <si>
    <t>dossier à venir</t>
  </si>
  <si>
    <t>electricien Hecker 0608561154</t>
  </si>
  <si>
    <t>TEDONE</t>
  </si>
  <si>
    <t>TRUNZER</t>
  </si>
  <si>
    <t>OBERLAUTERBACH</t>
  </si>
  <si>
    <t>GAMBSHEIM</t>
  </si>
  <si>
    <t>marchés en cours</t>
  </si>
  <si>
    <t>marchés S43</t>
  </si>
  <si>
    <t>DATE D'INTERVENTION</t>
  </si>
  <si>
    <t>posé par lutz</t>
  </si>
  <si>
    <t>PK CONCEPT</t>
  </si>
  <si>
    <t>étanchéité</t>
  </si>
  <si>
    <t>MERCI DE ME RETOURNER CE DOCUMENT COMPLÉTÉ ET DE ME CONFIRMER VOTRE INTERVENTION. PLANNING SOUS RÉSERVE.</t>
  </si>
  <si>
    <t>VINCENT PADOWICZ - CONDUCTEUR DE TRAVAUX - BERAL - 07.63.12.85.01 - vincent-padowicz@beral.fr</t>
  </si>
  <si>
    <t>INTERVENTION À EFFECTUER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</si>
</sst>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_(* #,##0.00_);_(* \(#,##0.00\);_(* &quot;-&quot;??_);_(@_)"/>
    <numFmt numFmtId="165" formatCode="General\ &quot;mois&quot;"/>
    <numFmt numFmtId="166" formatCode="&quot;S&quot;General"/>
    <numFmt numFmtId="167" formatCode="&quot; S &quot;General"/>
    <numFmt numFmtId="168" formatCode="d/m;@"/>
  </numFmts>
  <fonts count="3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1"/>
      <color rgb="FF303030"/>
      <name val="Arial"/>
      <family val="2"/>
    </font>
    <font>
      <b/>
      <sz val="18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trike/>
      <sz val="10"/>
      <color theme="1"/>
      <name val="Calibri"/>
      <family val="2"/>
      <scheme val="minor"/>
    </font>
    <font>
      <sz val="10"/>
      <name val="Arial"/>
      <family val="2"/>
    </font>
    <font>
      <b/>
      <sz val="2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0.5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</font>
    <font>
      <strike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theme="0" tint="-0.14999847407452621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theme="0" tint="-0.14999847407452621"/>
      </patternFill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21" fillId="0" borderId="0"/>
    <xf numFmtId="0" fontId="21" fillId="0" borderId="0"/>
    <xf numFmtId="0" fontId="24" fillId="0" borderId="0" applyNumberFormat="0" applyFill="0" applyBorder="0" applyAlignment="0" applyProtection="0">
      <alignment vertical="top"/>
      <protection locked="0"/>
    </xf>
  </cellStyleXfs>
  <cellXfs count="412">
    <xf numFmtId="0" fontId="0" fillId="0" borderId="0" xfId="0"/>
    <xf numFmtId="0" fontId="5" fillId="0" borderId="2" xfId="0" applyFont="1" applyBorder="1" applyAlignment="1" applyProtection="1"/>
    <xf numFmtId="0" fontId="0" fillId="0" borderId="2" xfId="0" applyBorder="1" applyProtection="1">
      <protection locked="0"/>
    </xf>
    <xf numFmtId="0" fontId="5" fillId="0" borderId="4" xfId="0" applyFont="1" applyBorder="1" applyAlignment="1" applyProtection="1">
      <alignment horizontal="left"/>
      <protection locked="0"/>
    </xf>
    <xf numFmtId="0" fontId="3" fillId="0" borderId="3" xfId="0" applyFont="1" applyBorder="1" applyAlignment="1" applyProtection="1">
      <alignment horizontal="right"/>
    </xf>
    <xf numFmtId="0" fontId="7" fillId="0" borderId="3" xfId="0" applyFont="1" applyBorder="1" applyAlignment="1" applyProtection="1">
      <alignment horizontal="right"/>
    </xf>
    <xf numFmtId="0" fontId="6" fillId="0" borderId="0" xfId="0" applyFont="1" applyBorder="1" applyProtection="1">
      <protection locked="0"/>
    </xf>
    <xf numFmtId="0" fontId="3" fillId="0" borderId="0" xfId="0" applyFont="1" applyBorder="1" applyAlignment="1" applyProtection="1">
      <alignment horizontal="right"/>
    </xf>
    <xf numFmtId="0" fontId="7" fillId="0" borderId="0" xfId="0" applyFont="1" applyBorder="1" applyAlignment="1" applyProtection="1">
      <alignment horizontal="right"/>
    </xf>
    <xf numFmtId="165" fontId="3" fillId="0" borderId="9" xfId="0" applyNumberFormat="1" applyFont="1" applyBorder="1" applyAlignment="1" applyProtection="1">
      <alignment horizontal="left"/>
    </xf>
    <xf numFmtId="0" fontId="3" fillId="0" borderId="9" xfId="0" applyFont="1" applyBorder="1" applyAlignment="1" applyProtection="1">
      <alignment horizontal="right"/>
    </xf>
    <xf numFmtId="0" fontId="7" fillId="0" borderId="9" xfId="0" applyFont="1" applyBorder="1" applyAlignment="1" applyProtection="1">
      <alignment horizontal="right"/>
    </xf>
    <xf numFmtId="0" fontId="3" fillId="0" borderId="9" xfId="0" applyNumberFormat="1" applyFont="1" applyBorder="1" applyAlignment="1" applyProtection="1">
      <alignment horizontal="left" vertical="center"/>
      <protection locked="0"/>
    </xf>
    <xf numFmtId="0" fontId="4" fillId="0" borderId="10" xfId="0" applyNumberFormat="1" applyFont="1" applyBorder="1" applyAlignment="1" applyProtection="1">
      <alignment horizontal="left" vertical="center"/>
      <protection locked="0"/>
    </xf>
    <xf numFmtId="0" fontId="0" fillId="0" borderId="11" xfId="0" applyBorder="1" applyProtection="1">
      <protection locked="0"/>
    </xf>
    <xf numFmtId="0" fontId="0" fillId="0" borderId="3" xfId="0" applyBorder="1" applyProtection="1">
      <protection locked="0"/>
    </xf>
    <xf numFmtId="0" fontId="3" fillId="0" borderId="3" xfId="0" applyFont="1" applyBorder="1" applyAlignment="1" applyProtection="1">
      <alignment horizontal="right"/>
      <protection locked="0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0" borderId="7" xfId="0" applyBorder="1" applyProtection="1">
      <protection locked="0"/>
    </xf>
    <xf numFmtId="0" fontId="3" fillId="0" borderId="12" xfId="0" applyFont="1" applyBorder="1" applyAlignment="1" applyProtection="1"/>
    <xf numFmtId="0" fontId="3" fillId="0" borderId="13" xfId="0" applyFont="1" applyBorder="1" applyAlignment="1" applyProtection="1"/>
    <xf numFmtId="0" fontId="1" fillId="0" borderId="14" xfId="0" applyFont="1" applyFill="1" applyBorder="1" applyAlignment="1" applyProtection="1"/>
    <xf numFmtId="0" fontId="0" fillId="0" borderId="14" xfId="0" applyBorder="1" applyAlignment="1" applyProtection="1">
      <alignment horizontal="center"/>
    </xf>
    <xf numFmtId="166" fontId="0" fillId="2" borderId="1" xfId="0" applyNumberFormat="1" applyFill="1" applyBorder="1" applyAlignment="1" applyProtection="1">
      <alignment wrapText="1"/>
      <protection locked="0"/>
    </xf>
    <xf numFmtId="0" fontId="0" fillId="2" borderId="16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10" fillId="2" borderId="8" xfId="0" applyNumberFormat="1" applyFont="1" applyFill="1" applyBorder="1" applyAlignment="1" applyProtection="1">
      <alignment horizontal="center"/>
    </xf>
    <xf numFmtId="0" fontId="0" fillId="2" borderId="4" xfId="0" applyFill="1" applyBorder="1" applyProtection="1"/>
    <xf numFmtId="0" fontId="0" fillId="2" borderId="4" xfId="0" applyFill="1" applyBorder="1" applyProtection="1">
      <protection locked="0"/>
    </xf>
    <xf numFmtId="0" fontId="0" fillId="2" borderId="17" xfId="0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2" borderId="0" xfId="0" applyFill="1" applyProtection="1"/>
    <xf numFmtId="0" fontId="0" fillId="0" borderId="4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0" xfId="0" applyBorder="1" applyAlignment="1" applyProtection="1">
      <alignment wrapText="1"/>
      <protection locked="0"/>
    </xf>
    <xf numFmtId="0" fontId="0" fillId="0" borderId="0" xfId="0" applyFont="1" applyBorder="1" applyProtection="1">
      <protection locked="0"/>
    </xf>
    <xf numFmtId="0" fontId="8" fillId="0" borderId="5" xfId="0" applyFont="1" applyBorder="1" applyAlignment="1" applyProtection="1">
      <alignment horizontal="left"/>
    </xf>
    <xf numFmtId="0" fontId="3" fillId="0" borderId="20" xfId="0" applyFont="1" applyBorder="1" applyAlignment="1" applyProtection="1">
      <alignment horizontal="left"/>
    </xf>
    <xf numFmtId="0" fontId="3" fillId="0" borderId="21" xfId="0" applyFont="1" applyBorder="1" applyAlignment="1" applyProtection="1">
      <alignment horizontal="left"/>
    </xf>
    <xf numFmtId="0" fontId="3" fillId="0" borderId="22" xfId="0" applyFont="1" applyBorder="1" applyAlignment="1" applyProtection="1">
      <alignment horizontal="left"/>
    </xf>
    <xf numFmtId="0" fontId="3" fillId="0" borderId="23" xfId="0" applyFont="1" applyBorder="1" applyAlignment="1" applyProtection="1">
      <alignment horizontal="left"/>
    </xf>
    <xf numFmtId="0" fontId="0" fillId="0" borderId="5" xfId="0" applyBorder="1" applyAlignment="1" applyProtection="1">
      <alignment horizontal="right"/>
      <protection locked="0"/>
    </xf>
    <xf numFmtId="0" fontId="0" fillId="0" borderId="10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6" xfId="0" applyFont="1" applyBorder="1" applyProtection="1">
      <protection locked="0"/>
    </xf>
    <xf numFmtId="0" fontId="11" fillId="0" borderId="11" xfId="0" applyFont="1" applyBorder="1" applyProtection="1"/>
    <xf numFmtId="14" fontId="0" fillId="0" borderId="17" xfId="0" applyNumberFormat="1" applyBorder="1" applyProtection="1">
      <protection locked="0"/>
    </xf>
    <xf numFmtId="0" fontId="12" fillId="2" borderId="8" xfId="0" applyNumberFormat="1" applyFont="1" applyFill="1" applyBorder="1" applyAlignment="1" applyProtection="1">
      <alignment horizontal="center"/>
    </xf>
    <xf numFmtId="0" fontId="3" fillId="0" borderId="13" xfId="0" applyFont="1" applyBorder="1" applyAlignment="1" applyProtection="1">
      <alignment horizontal="center"/>
    </xf>
    <xf numFmtId="0" fontId="0" fillId="2" borderId="15" xfId="0" applyFill="1" applyBorder="1" applyAlignment="1" applyProtection="1">
      <alignment horizontal="center" wrapText="1"/>
    </xf>
    <xf numFmtId="0" fontId="0" fillId="2" borderId="17" xfId="0" applyFill="1" applyBorder="1" applyAlignment="1" applyProtection="1">
      <alignment horizontal="center" wrapText="1"/>
    </xf>
    <xf numFmtId="0" fontId="0" fillId="2" borderId="15" xfId="0" applyNumberFormat="1" applyFill="1" applyBorder="1" applyAlignment="1" applyProtection="1">
      <alignment horizontal="center" wrapText="1"/>
    </xf>
    <xf numFmtId="0" fontId="0" fillId="3" borderId="4" xfId="0" applyFill="1" applyBorder="1" applyProtection="1"/>
    <xf numFmtId="0" fontId="0" fillId="3" borderId="17" xfId="0" applyFill="1" applyBorder="1" applyAlignment="1" applyProtection="1">
      <alignment horizontal="center" wrapText="1"/>
    </xf>
    <xf numFmtId="0" fontId="0" fillId="3" borderId="4" xfId="0" applyFill="1" applyBorder="1" applyProtection="1">
      <protection locked="0"/>
    </xf>
    <xf numFmtId="0" fontId="0" fillId="3" borderId="17" xfId="0" applyFill="1" applyBorder="1" applyProtection="1">
      <protection locked="0"/>
    </xf>
    <xf numFmtId="0" fontId="10" fillId="3" borderId="8" xfId="0" applyNumberFormat="1" applyFont="1" applyFill="1" applyBorder="1" applyAlignment="1" applyProtection="1">
      <alignment horizontal="center"/>
    </xf>
    <xf numFmtId="0" fontId="0" fillId="3" borderId="15" xfId="0" applyFill="1" applyBorder="1" applyAlignment="1" applyProtection="1">
      <alignment horizontal="center" wrapText="1"/>
    </xf>
    <xf numFmtId="166" fontId="0" fillId="3" borderId="1" xfId="0" applyNumberFormat="1" applyFill="1" applyBorder="1" applyAlignment="1" applyProtection="1">
      <alignment wrapText="1"/>
      <protection locked="0"/>
    </xf>
    <xf numFmtId="0" fontId="0" fillId="4" borderId="4" xfId="0" applyFill="1" applyBorder="1" applyProtection="1"/>
    <xf numFmtId="0" fontId="0" fillId="5" borderId="4" xfId="0" applyFill="1" applyBorder="1" applyProtection="1"/>
    <xf numFmtId="166" fontId="0" fillId="5" borderId="1" xfId="0" applyNumberFormat="1" applyFill="1" applyBorder="1" applyAlignment="1" applyProtection="1">
      <alignment wrapText="1"/>
      <protection locked="0"/>
    </xf>
    <xf numFmtId="0" fontId="0" fillId="5" borderId="4" xfId="0" applyFill="1" applyBorder="1" applyProtection="1">
      <protection locked="0"/>
    </xf>
    <xf numFmtId="0" fontId="0" fillId="5" borderId="17" xfId="0" applyFill="1" applyBorder="1" applyProtection="1">
      <protection locked="0"/>
    </xf>
    <xf numFmtId="0" fontId="10" fillId="5" borderId="8" xfId="0" applyNumberFormat="1" applyFont="1" applyFill="1" applyBorder="1" applyAlignment="1" applyProtection="1">
      <alignment horizontal="center"/>
    </xf>
    <xf numFmtId="0" fontId="0" fillId="5" borderId="17" xfId="0" applyFill="1" applyBorder="1" applyAlignment="1" applyProtection="1">
      <alignment horizontal="center" wrapText="1"/>
    </xf>
    <xf numFmtId="0" fontId="3" fillId="0" borderId="8" xfId="0" applyFont="1" applyBorder="1" applyAlignment="1" applyProtection="1">
      <alignment horizontal="left"/>
    </xf>
    <xf numFmtId="0" fontId="15" fillId="0" borderId="0" xfId="0" applyFont="1"/>
    <xf numFmtId="14" fontId="0" fillId="0" borderId="0" xfId="0" applyNumberFormat="1"/>
    <xf numFmtId="0" fontId="0" fillId="2" borderId="18" xfId="0" applyFill="1" applyBorder="1" applyProtection="1">
      <protection locked="0"/>
    </xf>
    <xf numFmtId="0" fontId="0" fillId="2" borderId="0" xfId="0" applyFill="1" applyBorder="1" applyProtection="1">
      <protection locked="0"/>
    </xf>
    <xf numFmtId="0" fontId="3" fillId="2" borderId="12" xfId="0" applyFont="1" applyFill="1" applyBorder="1" applyAlignment="1" applyProtection="1"/>
    <xf numFmtId="0" fontId="3" fillId="2" borderId="13" xfId="0" applyFont="1" applyFill="1" applyBorder="1" applyAlignment="1" applyProtection="1"/>
    <xf numFmtId="0" fontId="1" fillId="2" borderId="14" xfId="0" applyFont="1" applyFill="1" applyBorder="1" applyAlignment="1" applyProtection="1"/>
    <xf numFmtId="0" fontId="3" fillId="2" borderId="14" xfId="0" applyFont="1" applyFill="1" applyBorder="1" applyAlignment="1" applyProtection="1">
      <alignment horizontal="center"/>
    </xf>
    <xf numFmtId="0" fontId="0" fillId="4" borderId="10" xfId="0" applyFill="1" applyBorder="1" applyProtection="1"/>
    <xf numFmtId="166" fontId="0" fillId="2" borderId="8" xfId="0" applyNumberFormat="1" applyFill="1" applyBorder="1" applyAlignment="1" applyProtection="1">
      <alignment wrapText="1"/>
      <protection locked="0"/>
    </xf>
    <xf numFmtId="0" fontId="0" fillId="2" borderId="4" xfId="0" applyFont="1" applyFill="1" applyBorder="1" applyProtection="1"/>
    <xf numFmtId="0" fontId="0" fillId="2" borderId="6" xfId="0" applyFill="1" applyBorder="1" applyProtection="1"/>
    <xf numFmtId="166" fontId="0" fillId="2" borderId="11" xfId="0" applyNumberFormat="1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3" fillId="2" borderId="13" xfId="0" applyFont="1" applyFill="1" applyBorder="1" applyAlignment="1" applyProtection="1">
      <alignment horizontal="left"/>
    </xf>
    <xf numFmtId="0" fontId="3" fillId="2" borderId="14" xfId="0" applyFont="1" applyFill="1" applyBorder="1" applyAlignment="1" applyProtection="1">
      <alignment horizontal="left"/>
    </xf>
    <xf numFmtId="0" fontId="3" fillId="2" borderId="12" xfId="0" applyFont="1" applyFill="1" applyBorder="1" applyAlignment="1" applyProtection="1">
      <alignment horizontal="left"/>
    </xf>
    <xf numFmtId="0" fontId="3" fillId="2" borderId="13" xfId="0" applyFont="1" applyFill="1" applyBorder="1" applyAlignment="1" applyProtection="1">
      <alignment horizontal="center"/>
    </xf>
    <xf numFmtId="0" fontId="0" fillId="4" borderId="10" xfId="0" applyFont="1" applyFill="1" applyBorder="1" applyProtection="1"/>
    <xf numFmtId="167" fontId="0" fillId="2" borderId="19" xfId="0" applyNumberFormat="1" applyFill="1" applyBorder="1" applyAlignment="1" applyProtection="1">
      <alignment wrapText="1"/>
      <protection locked="0"/>
    </xf>
    <xf numFmtId="167" fontId="0" fillId="2" borderId="1" xfId="0" applyNumberFormat="1" applyFill="1" applyBorder="1" applyAlignment="1" applyProtection="1">
      <alignment wrapText="1"/>
      <protection locked="0"/>
    </xf>
    <xf numFmtId="0" fontId="0" fillId="2" borderId="6" xfId="0" applyFont="1" applyFill="1" applyBorder="1" applyProtection="1"/>
    <xf numFmtId="0" fontId="19" fillId="3" borderId="4" xfId="0" applyFont="1" applyFill="1" applyBorder="1" applyProtection="1"/>
    <xf numFmtId="0" fontId="19" fillId="3" borderId="15" xfId="0" applyFont="1" applyFill="1" applyBorder="1" applyAlignment="1" applyProtection="1">
      <alignment horizontal="center" wrapText="1"/>
    </xf>
    <xf numFmtId="166" fontId="19" fillId="3" borderId="1" xfId="0" applyNumberFormat="1" applyFont="1" applyFill="1" applyBorder="1" applyAlignment="1" applyProtection="1">
      <alignment wrapText="1"/>
      <protection locked="0"/>
    </xf>
    <xf numFmtId="0" fontId="19" fillId="3" borderId="4" xfId="0" applyFont="1" applyFill="1" applyBorder="1" applyProtection="1">
      <protection locked="0"/>
    </xf>
    <xf numFmtId="0" fontId="19" fillId="3" borderId="17" xfId="0" applyFont="1" applyFill="1" applyBorder="1" applyProtection="1">
      <protection locked="0"/>
    </xf>
    <xf numFmtId="0" fontId="20" fillId="3" borderId="8" xfId="0" applyNumberFormat="1" applyFont="1" applyFill="1" applyBorder="1" applyAlignment="1" applyProtection="1">
      <alignment horizontal="center"/>
    </xf>
    <xf numFmtId="0" fontId="0" fillId="2" borderId="15" xfId="0" applyFill="1" applyBorder="1" applyAlignment="1" applyProtection="1">
      <alignment horizontal="center"/>
    </xf>
    <xf numFmtId="0" fontId="19" fillId="3" borderId="17" xfId="0" applyFont="1" applyFill="1" applyBorder="1" applyAlignment="1" applyProtection="1">
      <alignment horizontal="center" wrapText="1"/>
    </xf>
    <xf numFmtId="0" fontId="0" fillId="2" borderId="17" xfId="0" applyFill="1" applyBorder="1" applyAlignment="1" applyProtection="1">
      <alignment horizontal="center"/>
    </xf>
    <xf numFmtId="167" fontId="19" fillId="3" borderId="1" xfId="0" applyNumberFormat="1" applyFont="1" applyFill="1" applyBorder="1" applyAlignment="1" applyProtection="1">
      <alignment wrapText="1"/>
      <protection locked="0"/>
    </xf>
    <xf numFmtId="0" fontId="0" fillId="4" borderId="4" xfId="0" applyFont="1" applyFill="1" applyBorder="1" applyProtection="1"/>
    <xf numFmtId="0" fontId="0" fillId="2" borderId="15" xfId="0" applyFont="1" applyFill="1" applyBorder="1" applyAlignment="1" applyProtection="1">
      <alignment horizontal="center" wrapText="1"/>
    </xf>
    <xf numFmtId="167" fontId="0" fillId="2" borderId="1" xfId="0" applyNumberFormat="1" applyFont="1" applyFill="1" applyBorder="1" applyAlignment="1" applyProtection="1">
      <alignment wrapText="1"/>
      <protection locked="0"/>
    </xf>
    <xf numFmtId="0" fontId="0" fillId="2" borderId="4" xfId="0" applyFont="1" applyFill="1" applyBorder="1" applyProtection="1">
      <protection locked="0"/>
    </xf>
    <xf numFmtId="0" fontId="0" fillId="2" borderId="17" xfId="0" applyFont="1" applyFill="1" applyBorder="1" applyProtection="1">
      <protection locked="0"/>
    </xf>
    <xf numFmtId="14" fontId="0" fillId="0" borderId="15" xfId="0" applyNumberFormat="1" applyBorder="1" applyProtection="1">
      <protection locked="0"/>
    </xf>
    <xf numFmtId="0" fontId="0" fillId="0" borderId="0" xfId="0" applyAlignment="1">
      <alignment horizontal="center"/>
    </xf>
    <xf numFmtId="0" fontId="0" fillId="0" borderId="0" xfId="0" applyFill="1"/>
    <xf numFmtId="0" fontId="17" fillId="0" borderId="0" xfId="0" applyFont="1" applyFill="1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Fill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23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 vertical="center"/>
    </xf>
    <xf numFmtId="0" fontId="27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5" xfId="0" applyBorder="1" applyAlignment="1" applyProtection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8" fillId="0" borderId="0" xfId="0" applyFont="1" applyAlignment="1">
      <alignment horizontal="center" vertical="center"/>
    </xf>
    <xf numFmtId="0" fontId="26" fillId="0" borderId="5" xfId="0" applyFont="1" applyBorder="1" applyAlignment="1" applyProtection="1">
      <alignment horizontal="center" vertical="center"/>
    </xf>
    <xf numFmtId="0" fontId="0" fillId="0" borderId="0" xfId="0" applyFill="1" applyBorder="1" applyAlignment="1">
      <alignment horizontal="left"/>
    </xf>
    <xf numFmtId="0" fontId="28" fillId="0" borderId="0" xfId="0" applyFont="1" applyAlignment="1">
      <alignment horizontal="center" vertical="center"/>
    </xf>
    <xf numFmtId="0" fontId="8" fillId="0" borderId="0" xfId="0" applyFont="1" applyBorder="1" applyAlignment="1" applyProtection="1">
      <alignment horizontal="left"/>
    </xf>
    <xf numFmtId="0" fontId="0" fillId="0" borderId="0" xfId="0" applyBorder="1" applyAlignment="1" applyProtection="1">
      <alignment horizontal="right"/>
      <protection locked="0"/>
    </xf>
    <xf numFmtId="0" fontId="11" fillId="0" borderId="3" xfId="0" applyFont="1" applyBorder="1" applyProtection="1"/>
    <xf numFmtId="0" fontId="0" fillId="0" borderId="0" xfId="0" applyBorder="1" applyAlignment="1" applyProtection="1">
      <alignment horizontal="center"/>
    </xf>
    <xf numFmtId="0" fontId="3" fillId="0" borderId="9" xfId="0" applyFont="1" applyBorder="1" applyAlignment="1" applyProtection="1">
      <alignment horizontal="left"/>
    </xf>
    <xf numFmtId="0" fontId="26" fillId="0" borderId="0" xfId="0" applyFont="1" applyBorder="1" applyAlignment="1" applyProtection="1">
      <alignment horizontal="center" vertical="center"/>
    </xf>
    <xf numFmtId="0" fontId="29" fillId="0" borderId="5" xfId="0" applyFont="1" applyBorder="1" applyAlignment="1" applyProtection="1">
      <alignment horizontal="center" vertical="center"/>
    </xf>
    <xf numFmtId="0" fontId="29" fillId="0" borderId="0" xfId="0" applyFont="1" applyBorder="1" applyAlignment="1" applyProtection="1">
      <alignment horizontal="center" vertical="center"/>
    </xf>
    <xf numFmtId="0" fontId="0" fillId="0" borderId="5" xfId="0" applyFont="1" applyBorder="1" applyAlignment="1" applyProtection="1">
      <alignment horizontal="center" vertical="center"/>
    </xf>
    <xf numFmtId="0" fontId="0" fillId="0" borderId="0" xfId="0" applyFill="1" applyAlignment="1"/>
    <xf numFmtId="0" fontId="24" fillId="0" borderId="0" xfId="3" applyFill="1" applyAlignment="1" applyProtection="1"/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center"/>
    </xf>
    <xf numFmtId="0" fontId="0" fillId="0" borderId="0" xfId="0" applyAlignment="1"/>
    <xf numFmtId="0" fontId="0" fillId="0" borderId="0" xfId="0" applyNumberFormat="1" applyFont="1" applyFill="1" applyBorder="1" applyAlignment="1">
      <alignment horizontal="left"/>
    </xf>
    <xf numFmtId="0" fontId="0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9" fillId="0" borderId="17" xfId="0" applyFont="1" applyBorder="1" applyAlignment="1" applyProtection="1">
      <alignment vertical="center"/>
    </xf>
    <xf numFmtId="0" fontId="29" fillId="0" borderId="17" xfId="0" applyFont="1" applyBorder="1" applyAlignment="1" applyProtection="1">
      <alignment horizontal="center" vertical="center"/>
    </xf>
    <xf numFmtId="0" fontId="29" fillId="6" borderId="17" xfId="0" applyFont="1" applyFill="1" applyBorder="1" applyAlignment="1" applyProtection="1">
      <alignment horizontal="center" vertical="center"/>
    </xf>
    <xf numFmtId="0" fontId="7" fillId="0" borderId="5" xfId="0" applyFont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0" fontId="0" fillId="0" borderId="28" xfId="0" applyFill="1" applyBorder="1" applyAlignment="1">
      <alignment horizontal="center"/>
    </xf>
    <xf numFmtId="0" fontId="0" fillId="0" borderId="0" xfId="0" applyFill="1" applyAlignment="1">
      <alignment horizontal="right" vertical="center"/>
    </xf>
    <xf numFmtId="0" fontId="29" fillId="6" borderId="17" xfId="0" applyFont="1" applyFill="1" applyBorder="1" applyAlignment="1" applyProtection="1">
      <alignment vertical="center"/>
    </xf>
    <xf numFmtId="0" fontId="0" fillId="2" borderId="0" xfId="0" applyFill="1" applyBorder="1" applyAlignment="1" applyProtection="1">
      <alignment horizontal="center" wrapText="1"/>
    </xf>
    <xf numFmtId="0" fontId="10" fillId="2" borderId="0" xfId="0" applyNumberFormat="1" applyFont="1" applyFill="1" applyBorder="1" applyAlignment="1" applyProtection="1">
      <alignment horizontal="center"/>
    </xf>
    <xf numFmtId="0" fontId="0" fillId="0" borderId="27" xfId="0" applyFill="1" applyBorder="1" applyAlignment="1">
      <alignment horizontal="center"/>
    </xf>
    <xf numFmtId="0" fontId="13" fillId="0" borderId="0" xfId="0" applyFont="1" applyFill="1" applyBorder="1" applyAlignment="1">
      <alignment horizontal="left"/>
    </xf>
    <xf numFmtId="0" fontId="0" fillId="0" borderId="0" xfId="0" applyFont="1" applyBorder="1" applyProtection="1"/>
    <xf numFmtId="0" fontId="0" fillId="2" borderId="15" xfId="0" applyNumberFormat="1" applyFill="1" applyBorder="1" applyAlignment="1" applyProtection="1">
      <alignment horizontal="center"/>
    </xf>
    <xf numFmtId="166" fontId="0" fillId="2" borderId="1" xfId="0" applyNumberFormat="1" applyFont="1" applyFill="1" applyBorder="1" applyAlignment="1" applyProtection="1">
      <alignment wrapText="1"/>
      <protection locked="0"/>
    </xf>
    <xf numFmtId="0" fontId="0" fillId="0" borderId="0" xfId="0" applyFont="1" applyBorder="1"/>
    <xf numFmtId="14" fontId="0" fillId="0" borderId="0" xfId="0" applyNumberFormat="1" applyFont="1" applyBorder="1" applyProtection="1">
      <protection locked="0"/>
    </xf>
    <xf numFmtId="14" fontId="0" fillId="0" borderId="0" xfId="0" applyNumberFormat="1" applyFont="1" applyBorder="1" applyProtection="1"/>
    <xf numFmtId="0" fontId="0" fillId="0" borderId="0" xfId="0" applyFont="1" applyFill="1" applyAlignment="1">
      <alignment horizontal="left"/>
    </xf>
    <xf numFmtId="0" fontId="0" fillId="0" borderId="0" xfId="0" applyNumberFormat="1" applyFont="1" applyFill="1" applyAlignment="1">
      <alignment horizontal="left"/>
    </xf>
    <xf numFmtId="16" fontId="0" fillId="0" borderId="0" xfId="0" applyNumberFormat="1" applyFill="1" applyBorder="1" applyAlignment="1">
      <alignment horizontal="left" vertical="center"/>
    </xf>
    <xf numFmtId="0" fontId="13" fillId="0" borderId="0" xfId="0" applyFont="1" applyFill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3" fillId="0" borderId="0" xfId="0" applyFont="1"/>
    <xf numFmtId="0" fontId="2" fillId="0" borderId="0" xfId="0" applyFont="1"/>
    <xf numFmtId="0" fontId="13" fillId="2" borderId="4" xfId="0" applyFont="1" applyFill="1" applyBorder="1" applyProtection="1"/>
    <xf numFmtId="0" fontId="13" fillId="2" borderId="17" xfId="0" applyFont="1" applyFill="1" applyBorder="1" applyAlignment="1" applyProtection="1">
      <alignment horizontal="center" wrapText="1"/>
    </xf>
    <xf numFmtId="166" fontId="13" fillId="2" borderId="1" xfId="0" applyNumberFormat="1" applyFont="1" applyFill="1" applyBorder="1" applyAlignment="1" applyProtection="1">
      <alignment wrapText="1"/>
      <protection locked="0"/>
    </xf>
    <xf numFmtId="0" fontId="13" fillId="2" borderId="4" xfId="0" applyFont="1" applyFill="1" applyBorder="1" applyProtection="1">
      <protection locked="0"/>
    </xf>
    <xf numFmtId="0" fontId="13" fillId="2" borderId="17" xfId="0" applyFont="1" applyFill="1" applyBorder="1" applyProtection="1">
      <protection locked="0"/>
    </xf>
    <xf numFmtId="0" fontId="14" fillId="2" borderId="8" xfId="0" applyNumberFormat="1" applyFont="1" applyFill="1" applyBorder="1" applyAlignment="1" applyProtection="1">
      <alignment horizontal="center"/>
    </xf>
    <xf numFmtId="0" fontId="0" fillId="0" borderId="0" xfId="0" applyFont="1" applyBorder="1" applyAlignment="1" applyProtection="1">
      <alignment horizontal="center" vertical="center"/>
    </xf>
    <xf numFmtId="0" fontId="29" fillId="0" borderId="10" xfId="0" applyFont="1" applyBorder="1" applyAlignment="1" applyProtection="1">
      <alignment horizontal="center" vertical="center"/>
    </xf>
    <xf numFmtId="0" fontId="0" fillId="0" borderId="15" xfId="0" applyNumberFormat="1" applyBorder="1" applyProtection="1">
      <protection locked="0"/>
    </xf>
    <xf numFmtId="0" fontId="0" fillId="0" borderId="17" xfId="0" applyNumberFormat="1" applyBorder="1" applyProtection="1">
      <protection locked="0"/>
    </xf>
    <xf numFmtId="0" fontId="0" fillId="0" borderId="0" xfId="0" applyNumberFormat="1" applyFont="1" applyFill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Fill="1" applyAlignment="1">
      <alignment horizontal="center" vertical="center"/>
    </xf>
    <xf numFmtId="166" fontId="0" fillId="2" borderId="1" xfId="0" applyNumberFormat="1" applyFill="1" applyBorder="1" applyAlignment="1" applyProtection="1">
      <alignment wrapText="1"/>
    </xf>
    <xf numFmtId="166" fontId="13" fillId="2" borderId="1" xfId="0" applyNumberFormat="1" applyFont="1" applyFill="1" applyBorder="1" applyAlignment="1" applyProtection="1">
      <alignment wrapText="1"/>
    </xf>
    <xf numFmtId="0" fontId="29" fillId="0" borderId="7" xfId="0" applyFont="1" applyBorder="1" applyAlignment="1" applyProtection="1">
      <alignment horizontal="center" vertical="center"/>
    </xf>
    <xf numFmtId="0" fontId="10" fillId="2" borderId="17" xfId="0" applyFont="1" applyFill="1" applyBorder="1"/>
    <xf numFmtId="14" fontId="0" fillId="0" borderId="18" xfId="0" applyNumberFormat="1" applyBorder="1" applyProtection="1">
      <protection locked="0"/>
    </xf>
    <xf numFmtId="0" fontId="13" fillId="3" borderId="4" xfId="0" applyFont="1" applyFill="1" applyBorder="1" applyProtection="1"/>
    <xf numFmtId="0" fontId="13" fillId="3" borderId="17" xfId="0" applyFont="1" applyFill="1" applyBorder="1" applyAlignment="1" applyProtection="1">
      <alignment horizontal="center" wrapText="1"/>
    </xf>
    <xf numFmtId="166" fontId="13" fillId="3" borderId="1" xfId="0" applyNumberFormat="1" applyFont="1" applyFill="1" applyBorder="1" applyAlignment="1" applyProtection="1">
      <alignment wrapText="1"/>
      <protection locked="0"/>
    </xf>
    <xf numFmtId="0" fontId="13" fillId="3" borderId="4" xfId="0" applyFont="1" applyFill="1" applyBorder="1" applyProtection="1">
      <protection locked="0"/>
    </xf>
    <xf numFmtId="0" fontId="13" fillId="3" borderId="17" xfId="0" applyFont="1" applyFill="1" applyBorder="1" applyProtection="1">
      <protection locked="0"/>
    </xf>
    <xf numFmtId="0" fontId="14" fillId="3" borderId="8" xfId="0" applyNumberFormat="1" applyFont="1" applyFill="1" applyBorder="1" applyAlignment="1" applyProtection="1">
      <alignment horizontal="center"/>
    </xf>
    <xf numFmtId="0" fontId="10" fillId="2" borderId="0" xfId="0" applyFont="1" applyFill="1" applyBorder="1"/>
    <xf numFmtId="166" fontId="0" fillId="2" borderId="0" xfId="0" applyNumberFormat="1" applyFill="1" applyBorder="1" applyAlignment="1" applyProtection="1">
      <alignment wrapText="1"/>
      <protection locked="0"/>
    </xf>
    <xf numFmtId="0" fontId="0" fillId="2" borderId="32" xfId="0" applyFill="1" applyBorder="1" applyAlignment="1" applyProtection="1">
      <alignment horizontal="center" wrapText="1"/>
    </xf>
    <xf numFmtId="0" fontId="10" fillId="2" borderId="5" xfId="0" applyNumberFormat="1" applyFont="1" applyFill="1" applyBorder="1" applyAlignment="1" applyProtection="1">
      <alignment horizontal="center"/>
    </xf>
    <xf numFmtId="0" fontId="0" fillId="2" borderId="3" xfId="0" applyFill="1" applyBorder="1" applyProtection="1"/>
    <xf numFmtId="166" fontId="0" fillId="2" borderId="3" xfId="0" applyNumberFormat="1" applyFill="1" applyBorder="1" applyAlignment="1" applyProtection="1">
      <alignment wrapText="1"/>
      <protection locked="0"/>
    </xf>
    <xf numFmtId="0" fontId="0" fillId="2" borderId="3" xfId="0" applyFill="1" applyBorder="1" applyProtection="1">
      <protection locked="0"/>
    </xf>
    <xf numFmtId="0" fontId="13" fillId="0" borderId="0" xfId="0" applyFont="1" applyFill="1" applyAlignment="1">
      <alignment horizontal="left"/>
    </xf>
    <xf numFmtId="0" fontId="13" fillId="0" borderId="0" xfId="0" applyNumberFormat="1" applyFont="1" applyFill="1" applyAlignment="1">
      <alignment horizontal="center"/>
    </xf>
    <xf numFmtId="0" fontId="0" fillId="0" borderId="7" xfId="0" applyFont="1" applyBorder="1" applyAlignment="1" applyProtection="1">
      <alignment horizontal="center" vertical="center"/>
    </xf>
    <xf numFmtId="14" fontId="0" fillId="0" borderId="0" xfId="0" applyNumberFormat="1" applyFill="1" applyBorder="1" applyAlignment="1">
      <alignment horizontal="left" vertical="center"/>
    </xf>
    <xf numFmtId="0" fontId="31" fillId="3" borderId="4" xfId="0" applyFont="1" applyFill="1" applyBorder="1" applyProtection="1"/>
    <xf numFmtId="0" fontId="31" fillId="3" borderId="17" xfId="0" applyFont="1" applyFill="1" applyBorder="1" applyAlignment="1" applyProtection="1">
      <alignment horizontal="center" wrapText="1"/>
    </xf>
    <xf numFmtId="166" fontId="0" fillId="3" borderId="1" xfId="0" applyNumberFormat="1" applyFill="1" applyBorder="1" applyAlignment="1" applyProtection="1">
      <alignment wrapText="1"/>
    </xf>
    <xf numFmtId="0" fontId="0" fillId="3" borderId="15" xfId="0" applyNumberFormat="1" applyFill="1" applyBorder="1" applyAlignment="1" applyProtection="1">
      <alignment horizontal="center" wrapText="1"/>
    </xf>
    <xf numFmtId="14" fontId="0" fillId="3" borderId="4" xfId="0" applyNumberFormat="1" applyFill="1" applyBorder="1" applyProtection="1">
      <protection locked="0"/>
    </xf>
    <xf numFmtId="0" fontId="0" fillId="0" borderId="2" xfId="0" applyBorder="1"/>
    <xf numFmtId="0" fontId="0" fillId="0" borderId="2" xfId="0" applyBorder="1" applyAlignment="1">
      <alignment horizontal="center"/>
    </xf>
    <xf numFmtId="0" fontId="24" fillId="0" borderId="2" xfId="3" applyBorder="1" applyAlignment="1" applyProtection="1"/>
    <xf numFmtId="0" fontId="24" fillId="0" borderId="2" xfId="3" applyBorder="1" applyAlignment="1" applyProtection="1">
      <alignment wrapText="1"/>
    </xf>
    <xf numFmtId="0" fontId="0" fillId="5" borderId="4" xfId="0" applyFont="1" applyFill="1" applyBorder="1" applyProtection="1"/>
    <xf numFmtId="0" fontId="0" fillId="8" borderId="4" xfId="0" applyFill="1" applyBorder="1" applyProtection="1"/>
    <xf numFmtId="0" fontId="0" fillId="5" borderId="15" xfId="0" applyFill="1" applyBorder="1" applyAlignment="1" applyProtection="1">
      <alignment horizontal="center" wrapText="1"/>
    </xf>
    <xf numFmtId="0" fontId="0" fillId="2" borderId="4" xfId="0" applyFill="1" applyBorder="1" applyAlignment="1" applyProtection="1"/>
    <xf numFmtId="166" fontId="0" fillId="2" borderId="1" xfId="0" applyNumberFormat="1" applyFill="1" applyBorder="1" applyAlignment="1" applyProtection="1"/>
    <xf numFmtId="0" fontId="0" fillId="2" borderId="16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7" xfId="0" applyBorder="1" applyAlignment="1" applyProtection="1">
      <protection locked="0"/>
    </xf>
    <xf numFmtId="166" fontId="13" fillId="2" borderId="1" xfId="0" applyNumberFormat="1" applyFont="1" applyFill="1" applyBorder="1" applyAlignment="1" applyProtection="1"/>
    <xf numFmtId="0" fontId="0" fillId="2" borderId="4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14" fontId="0" fillId="2" borderId="4" xfId="0" applyNumberFormat="1" applyFill="1" applyBorder="1" applyAlignment="1" applyProtection="1">
      <protection locked="0"/>
    </xf>
    <xf numFmtId="166" fontId="0" fillId="2" borderId="1" xfId="0" applyNumberFormat="1" applyFill="1" applyBorder="1" applyAlignment="1" applyProtection="1">
      <protection locked="0"/>
    </xf>
    <xf numFmtId="0" fontId="0" fillId="2" borderId="0" xfId="0" applyFill="1" applyAlignment="1" applyProtection="1"/>
    <xf numFmtId="0" fontId="13" fillId="3" borderId="4" xfId="0" applyFont="1" applyFill="1" applyBorder="1" applyAlignment="1" applyProtection="1"/>
    <xf numFmtId="0" fontId="13" fillId="3" borderId="17" xfId="0" applyFont="1" applyFill="1" applyBorder="1" applyAlignment="1" applyProtection="1">
      <alignment horizontal="center"/>
    </xf>
    <xf numFmtId="166" fontId="13" fillId="3" borderId="1" xfId="0" applyNumberFormat="1" applyFont="1" applyFill="1" applyBorder="1" applyAlignment="1" applyProtection="1">
      <protection locked="0"/>
    </xf>
    <xf numFmtId="0" fontId="13" fillId="3" borderId="4" xfId="0" applyFont="1" applyFill="1" applyBorder="1" applyAlignment="1" applyProtection="1">
      <protection locked="0"/>
    </xf>
    <xf numFmtId="0" fontId="13" fillId="3" borderId="17" xfId="0" applyFont="1" applyFill="1" applyBorder="1" applyAlignment="1" applyProtection="1">
      <protection locked="0"/>
    </xf>
    <xf numFmtId="2" fontId="29" fillId="0" borderId="17" xfId="0" applyNumberFormat="1" applyFont="1" applyBorder="1" applyAlignment="1" applyProtection="1">
      <alignment horizontal="center" vertical="center"/>
    </xf>
    <xf numFmtId="164" fontId="0" fillId="0" borderId="5" xfId="0" applyNumberFormat="1" applyBorder="1" applyAlignment="1" applyProtection="1">
      <alignment horizontal="center"/>
    </xf>
    <xf numFmtId="164" fontId="26" fillId="0" borderId="5" xfId="0" applyNumberFormat="1" applyFont="1" applyBorder="1" applyAlignment="1" applyProtection="1">
      <alignment horizontal="center" vertical="center"/>
    </xf>
    <xf numFmtId="164" fontId="29" fillId="0" borderId="5" xfId="0" applyNumberFormat="1" applyFont="1" applyBorder="1" applyAlignment="1" applyProtection="1">
      <alignment horizontal="center" vertical="center"/>
    </xf>
    <xf numFmtId="164" fontId="29" fillId="0" borderId="17" xfId="0" applyNumberFormat="1" applyFont="1" applyBorder="1" applyAlignment="1" applyProtection="1">
      <alignment horizontal="center" vertical="center"/>
    </xf>
    <xf numFmtId="164" fontId="7" fillId="0" borderId="5" xfId="0" applyNumberFormat="1" applyFont="1" applyBorder="1" applyAlignment="1" applyProtection="1">
      <alignment horizontal="center" vertical="center"/>
    </xf>
    <xf numFmtId="164" fontId="0" fillId="0" borderId="5" xfId="0" applyNumberFormat="1" applyFont="1" applyBorder="1" applyAlignment="1" applyProtection="1">
      <alignment horizontal="center" vertical="center"/>
    </xf>
    <xf numFmtId="164" fontId="0" fillId="0" borderId="5" xfId="0" applyNumberFormat="1" applyBorder="1" applyProtection="1">
      <protection locked="0"/>
    </xf>
    <xf numFmtId="164" fontId="8" fillId="0" borderId="5" xfId="0" applyNumberFormat="1" applyFont="1" applyBorder="1" applyAlignment="1" applyProtection="1">
      <alignment horizontal="left"/>
    </xf>
    <xf numFmtId="164" fontId="0" fillId="0" borderId="5" xfId="0" applyNumberFormat="1" applyBorder="1" applyAlignment="1" applyProtection="1">
      <alignment horizontal="right"/>
      <protection locked="0"/>
    </xf>
    <xf numFmtId="164" fontId="11" fillId="0" borderId="11" xfId="0" applyNumberFormat="1" applyFont="1" applyBorder="1" applyProtection="1"/>
    <xf numFmtId="164" fontId="0" fillId="0" borderId="8" xfId="0" applyNumberFormat="1" applyBorder="1" applyProtection="1">
      <protection locked="0"/>
    </xf>
    <xf numFmtId="164" fontId="0" fillId="0" borderId="0" xfId="0" applyNumberFormat="1" applyProtection="1">
      <protection locked="0"/>
    </xf>
    <xf numFmtId="164" fontId="0" fillId="0" borderId="0" xfId="0" applyNumberFormat="1" applyFont="1" applyBorder="1" applyProtection="1"/>
    <xf numFmtId="164" fontId="0" fillId="0" borderId="0" xfId="0" applyNumberFormat="1" applyFont="1" applyBorder="1" applyProtection="1">
      <protection locked="0"/>
    </xf>
    <xf numFmtId="164" fontId="0" fillId="0" borderId="0" xfId="0" applyNumberFormat="1" applyFont="1" applyBorder="1"/>
    <xf numFmtId="164" fontId="0" fillId="0" borderId="0" xfId="0" applyNumberFormat="1"/>
    <xf numFmtId="164" fontId="3" fillId="0" borderId="8" xfId="0" applyNumberFormat="1" applyFont="1" applyBorder="1" applyAlignment="1" applyProtection="1"/>
    <xf numFmtId="2" fontId="29" fillId="0" borderId="17" xfId="0" applyNumberFormat="1" applyFont="1" applyBorder="1" applyAlignment="1" applyProtection="1">
      <alignment vertical="center"/>
    </xf>
    <xf numFmtId="2" fontId="29" fillId="0" borderId="5" xfId="0" applyNumberFormat="1" applyFont="1" applyBorder="1" applyAlignment="1" applyProtection="1">
      <alignment vertical="center"/>
    </xf>
    <xf numFmtId="2" fontId="7" fillId="0" borderId="5" xfId="0" applyNumberFormat="1" applyFont="1" applyBorder="1" applyAlignment="1" applyProtection="1">
      <alignment vertical="center"/>
    </xf>
    <xf numFmtId="2" fontId="0" fillId="0" borderId="5" xfId="0" applyNumberFormat="1" applyFont="1" applyBorder="1" applyAlignment="1" applyProtection="1">
      <alignment vertical="center"/>
    </xf>
    <xf numFmtId="2" fontId="29" fillId="6" borderId="17" xfId="0" applyNumberFormat="1" applyFont="1" applyFill="1" applyBorder="1" applyAlignment="1" applyProtection="1">
      <alignment horizontal="center" vertical="center"/>
    </xf>
    <xf numFmtId="164" fontId="29" fillId="6" borderId="17" xfId="0" applyNumberFormat="1" applyFont="1" applyFill="1" applyBorder="1" applyAlignment="1" applyProtection="1">
      <alignment vertical="center"/>
    </xf>
    <xf numFmtId="164" fontId="29" fillId="6" borderId="17" xfId="0" applyNumberFormat="1" applyFont="1" applyFill="1" applyBorder="1" applyAlignment="1" applyProtection="1">
      <alignment horizontal="center" vertical="center"/>
    </xf>
    <xf numFmtId="2" fontId="29" fillId="6" borderId="17" xfId="0" applyNumberFormat="1" applyFont="1" applyFill="1" applyBorder="1" applyAlignment="1" applyProtection="1">
      <alignment vertical="center"/>
    </xf>
    <xf numFmtId="0" fontId="29" fillId="2" borderId="17" xfId="0" applyFont="1" applyFill="1" applyBorder="1" applyAlignment="1" applyProtection="1">
      <alignment horizontal="center" vertical="center"/>
    </xf>
    <xf numFmtId="0" fontId="29" fillId="0" borderId="17" xfId="0" applyFont="1" applyFill="1" applyBorder="1" applyAlignment="1" applyProtection="1">
      <alignment horizontal="center" vertical="center"/>
    </xf>
    <xf numFmtId="0" fontId="29" fillId="0" borderId="0" xfId="0" applyFont="1" applyFill="1" applyBorder="1" applyAlignment="1" applyProtection="1">
      <alignment horizontal="center" vertical="center"/>
    </xf>
    <xf numFmtId="0" fontId="13" fillId="0" borderId="0" xfId="0" applyFont="1" applyFill="1" applyAlignment="1">
      <alignment horizontal="right" vertical="center"/>
    </xf>
    <xf numFmtId="164" fontId="32" fillId="6" borderId="17" xfId="0" applyNumberFormat="1" applyFont="1" applyFill="1" applyBorder="1" applyAlignment="1" applyProtection="1">
      <alignment horizontal="center" vertical="center"/>
    </xf>
    <xf numFmtId="2" fontId="29" fillId="2" borderId="17" xfId="0" applyNumberFormat="1" applyFont="1" applyFill="1" applyBorder="1" applyAlignment="1" applyProtection="1">
      <alignment horizontal="center" vertical="center"/>
    </xf>
    <xf numFmtId="0" fontId="13" fillId="2" borderId="15" xfId="0" applyNumberFormat="1" applyFont="1" applyFill="1" applyBorder="1" applyAlignment="1" applyProtection="1">
      <alignment horizontal="center" wrapText="1"/>
    </xf>
    <xf numFmtId="14" fontId="13" fillId="2" borderId="4" xfId="0" applyNumberFormat="1" applyFont="1" applyFill="1" applyBorder="1" applyProtection="1">
      <protection locked="0"/>
    </xf>
    <xf numFmtId="0" fontId="3" fillId="0" borderId="5" xfId="0" applyFont="1" applyBorder="1" applyAlignment="1" applyProtection="1">
      <alignment horizontal="center" vertical="center"/>
    </xf>
    <xf numFmtId="0" fontId="13" fillId="2" borderId="15" xfId="0" applyFont="1" applyFill="1" applyBorder="1" applyAlignment="1" applyProtection="1">
      <alignment horizontal="center" wrapText="1"/>
    </xf>
    <xf numFmtId="0" fontId="10" fillId="0" borderId="5" xfId="0" applyFont="1" applyBorder="1" applyAlignment="1" applyProtection="1">
      <alignment horizontal="center" vertical="center"/>
    </xf>
    <xf numFmtId="0" fontId="29" fillId="0" borderId="5" xfId="0" applyFont="1" applyFill="1" applyBorder="1" applyAlignment="1" applyProtection="1">
      <alignment horizontal="center" vertical="center"/>
    </xf>
    <xf numFmtId="0" fontId="7" fillId="0" borderId="5" xfId="0" applyFont="1" applyFill="1" applyBorder="1" applyAlignment="1" applyProtection="1">
      <alignment horizontal="center" vertical="center"/>
    </xf>
    <xf numFmtId="0" fontId="10" fillId="2" borderId="0" xfId="0" applyNumberFormat="1" applyFont="1" applyFill="1" applyAlignment="1" applyProtection="1">
      <alignment horizontal="center"/>
    </xf>
    <xf numFmtId="0" fontId="10" fillId="2" borderId="1" xfId="0" applyNumberFormat="1" applyFont="1" applyFill="1" applyBorder="1" applyAlignment="1" applyProtection="1">
      <alignment horizontal="center"/>
    </xf>
    <xf numFmtId="14" fontId="0" fillId="6" borderId="17" xfId="0" applyNumberFormat="1" applyFill="1" applyBorder="1" applyProtection="1">
      <protection locked="0"/>
    </xf>
    <xf numFmtId="0" fontId="0" fillId="0" borderId="28" xfId="0" applyFont="1" applyFill="1" applyBorder="1" applyAlignment="1">
      <alignment horizontal="center"/>
    </xf>
    <xf numFmtId="0" fontId="0" fillId="0" borderId="29" xfId="0" applyFont="1" applyFill="1" applyBorder="1" applyAlignment="1">
      <alignment horizontal="center"/>
    </xf>
    <xf numFmtId="0" fontId="0" fillId="0" borderId="0" xfId="0" applyAlignment="1">
      <alignment horizontal="right"/>
    </xf>
    <xf numFmtId="37" fontId="29" fillId="0" borderId="17" xfId="0" applyNumberFormat="1" applyFont="1" applyBorder="1" applyAlignment="1" applyProtection="1">
      <alignment horizontal="center" vertical="center"/>
    </xf>
    <xf numFmtId="0" fontId="0" fillId="0" borderId="0" xfId="0" applyNumberFormat="1"/>
    <xf numFmtId="0" fontId="0" fillId="0" borderId="2" xfId="0" applyNumberFormat="1" applyBorder="1"/>
    <xf numFmtId="0" fontId="24" fillId="0" borderId="2" xfId="3" applyNumberFormat="1" applyBorder="1" applyAlignment="1" applyProtection="1"/>
    <xf numFmtId="0" fontId="24" fillId="0" borderId="2" xfId="3" applyNumberFormat="1" applyBorder="1" applyAlignment="1" applyProtection="1">
      <alignment wrapText="1"/>
    </xf>
    <xf numFmtId="16" fontId="0" fillId="2" borderId="4" xfId="0" applyNumberFormat="1" applyFill="1" applyBorder="1" applyProtection="1">
      <protection locked="0"/>
    </xf>
    <xf numFmtId="0" fontId="0" fillId="0" borderId="0" xfId="0" applyAlignment="1">
      <alignment wrapText="1"/>
    </xf>
    <xf numFmtId="0" fontId="29" fillId="0" borderId="17" xfId="0" applyFont="1" applyFill="1" applyBorder="1" applyAlignment="1" applyProtection="1">
      <alignment vertical="center"/>
    </xf>
    <xf numFmtId="43" fontId="29" fillId="0" borderId="17" xfId="0" applyNumberFormat="1" applyFont="1" applyFill="1" applyBorder="1" applyAlignment="1" applyProtection="1">
      <alignment vertical="center"/>
    </xf>
    <xf numFmtId="43" fontId="29" fillId="0" borderId="5" xfId="0" applyNumberFormat="1" applyFont="1" applyFill="1" applyBorder="1" applyAlignment="1" applyProtection="1">
      <alignment vertical="center"/>
    </xf>
    <xf numFmtId="43" fontId="7" fillId="0" borderId="5" xfId="0" applyNumberFormat="1" applyFont="1" applyFill="1" applyBorder="1" applyAlignment="1" applyProtection="1">
      <alignment vertical="center"/>
    </xf>
    <xf numFmtId="43" fontId="0" fillId="0" borderId="5" xfId="0" applyNumberFormat="1" applyFont="1" applyFill="1" applyBorder="1" applyAlignment="1" applyProtection="1">
      <alignment vertical="center"/>
    </xf>
    <xf numFmtId="43" fontId="0" fillId="0" borderId="7" xfId="0" applyNumberFormat="1" applyFont="1" applyBorder="1" applyAlignment="1" applyProtection="1">
      <alignment horizontal="center" vertical="center"/>
    </xf>
    <xf numFmtId="43" fontId="26" fillId="0" borderId="0" xfId="0" applyNumberFormat="1" applyFont="1" applyBorder="1" applyAlignment="1" applyProtection="1">
      <alignment horizontal="center" vertical="center"/>
    </xf>
    <xf numFmtId="43" fontId="29" fillId="0" borderId="7" xfId="0" applyNumberFormat="1" applyFont="1" applyBorder="1" applyAlignment="1" applyProtection="1">
      <alignment horizontal="center" vertical="center"/>
    </xf>
    <xf numFmtId="43" fontId="29" fillId="0" borderId="0" xfId="0" applyNumberFormat="1" applyFont="1" applyBorder="1" applyAlignment="1" applyProtection="1">
      <alignment horizontal="center" vertical="center"/>
    </xf>
    <xf numFmtId="43" fontId="29" fillId="0" borderId="17" xfId="0" applyNumberFormat="1" applyFont="1" applyBorder="1" applyAlignment="1" applyProtection="1">
      <alignment horizontal="center" vertical="center"/>
    </xf>
    <xf numFmtId="43" fontId="7" fillId="0" borderId="0" xfId="0" applyNumberFormat="1" applyFont="1" applyBorder="1" applyAlignment="1" applyProtection="1">
      <alignment horizontal="center" vertical="center"/>
    </xf>
    <xf numFmtId="43" fontId="29" fillId="0" borderId="10" xfId="0" applyNumberFormat="1" applyFont="1" applyBorder="1" applyAlignment="1" applyProtection="1">
      <alignment horizontal="center" vertical="center"/>
    </xf>
    <xf numFmtId="43" fontId="0" fillId="0" borderId="0" xfId="0" applyNumberFormat="1" applyFont="1" applyBorder="1" applyAlignment="1" applyProtection="1">
      <alignment horizontal="center" vertical="center"/>
    </xf>
    <xf numFmtId="43" fontId="0" fillId="0" borderId="0" xfId="0" applyNumberFormat="1" applyBorder="1" applyProtection="1">
      <protection locked="0"/>
    </xf>
    <xf numFmtId="0" fontId="0" fillId="0" borderId="4" xfId="0" applyFill="1" applyBorder="1" applyProtection="1"/>
    <xf numFmtId="166" fontId="0" fillId="0" borderId="1" xfId="0" applyNumberFormat="1" applyFill="1" applyBorder="1" applyAlignment="1" applyProtection="1">
      <alignment wrapText="1"/>
      <protection locked="0"/>
    </xf>
    <xf numFmtId="0" fontId="0" fillId="0" borderId="4" xfId="0" applyFill="1" applyBorder="1" applyProtection="1">
      <protection locked="0"/>
    </xf>
    <xf numFmtId="0" fontId="0" fillId="0" borderId="17" xfId="0" applyFill="1" applyBorder="1" applyProtection="1">
      <protection locked="0"/>
    </xf>
    <xf numFmtId="0" fontId="10" fillId="0" borderId="8" xfId="0" applyNumberFormat="1" applyFont="1" applyFill="1" applyBorder="1" applyAlignment="1" applyProtection="1">
      <alignment horizontal="center"/>
    </xf>
    <xf numFmtId="43" fontId="29" fillId="6" borderId="17" xfId="0" applyNumberFormat="1" applyFont="1" applyFill="1" applyBorder="1" applyAlignment="1" applyProtection="1">
      <alignment vertical="center"/>
    </xf>
    <xf numFmtId="43" fontId="29" fillId="6" borderId="5" xfId="0" applyNumberFormat="1" applyFont="1" applyFill="1" applyBorder="1" applyAlignment="1" applyProtection="1">
      <alignment vertical="center"/>
    </xf>
    <xf numFmtId="43" fontId="26" fillId="0" borderId="5" xfId="0" applyNumberFormat="1" applyFont="1" applyBorder="1" applyAlignment="1" applyProtection="1">
      <alignment horizontal="center" vertical="center"/>
    </xf>
    <xf numFmtId="43" fontId="29" fillId="0" borderId="5" xfId="0" applyNumberFormat="1" applyFont="1" applyBorder="1" applyAlignment="1" applyProtection="1">
      <alignment horizontal="center" vertical="center"/>
    </xf>
    <xf numFmtId="43" fontId="29" fillId="6" borderId="17" xfId="0" applyNumberFormat="1" applyFont="1" applyFill="1" applyBorder="1" applyAlignment="1" applyProtection="1">
      <alignment horizontal="center" vertical="center"/>
    </xf>
    <xf numFmtId="43" fontId="29" fillId="0" borderId="17" xfId="0" applyNumberFormat="1" applyFont="1" applyBorder="1" applyAlignment="1" applyProtection="1">
      <alignment vertical="center"/>
    </xf>
    <xf numFmtId="43" fontId="29" fillId="6" borderId="5" xfId="0" applyNumberFormat="1" applyFont="1" applyFill="1" applyBorder="1" applyAlignment="1" applyProtection="1">
      <alignment horizontal="center" vertical="center"/>
    </xf>
    <xf numFmtId="43" fontId="7" fillId="0" borderId="5" xfId="0" applyNumberFormat="1" applyFont="1" applyBorder="1" applyAlignment="1" applyProtection="1">
      <alignment horizontal="center" vertical="center"/>
    </xf>
    <xf numFmtId="43" fontId="0" fillId="0" borderId="5" xfId="0" applyNumberFormat="1" applyFont="1" applyBorder="1" applyAlignment="1" applyProtection="1">
      <alignment horizontal="center" vertical="center"/>
    </xf>
    <xf numFmtId="43" fontId="29" fillId="0" borderId="5" xfId="0" applyNumberFormat="1" applyFont="1" applyFill="1" applyBorder="1" applyAlignment="1" applyProtection="1">
      <alignment horizontal="center" vertical="center"/>
    </xf>
    <xf numFmtId="43" fontId="29" fillId="0" borderId="17" xfId="0" applyNumberFormat="1" applyFont="1" applyFill="1" applyBorder="1" applyAlignment="1" applyProtection="1">
      <alignment horizontal="center" vertical="center"/>
    </xf>
    <xf numFmtId="43" fontId="7" fillId="0" borderId="5" xfId="0" applyNumberFormat="1" applyFont="1" applyFill="1" applyBorder="1" applyAlignment="1" applyProtection="1">
      <alignment horizontal="center" vertical="center"/>
    </xf>
    <xf numFmtId="164" fontId="29" fillId="0" borderId="5" xfId="0" applyNumberFormat="1" applyFont="1" applyFill="1" applyBorder="1" applyAlignment="1" applyProtection="1">
      <alignment horizontal="center" vertical="center"/>
    </xf>
    <xf numFmtId="164" fontId="29" fillId="0" borderId="17" xfId="0" applyNumberFormat="1" applyFont="1" applyFill="1" applyBorder="1" applyAlignment="1" applyProtection="1">
      <alignment horizontal="center" vertical="center"/>
    </xf>
    <xf numFmtId="164" fontId="10" fillId="0" borderId="5" xfId="0" applyNumberFormat="1" applyFont="1" applyBorder="1" applyAlignment="1" applyProtection="1">
      <alignment horizontal="center" vertical="center"/>
    </xf>
    <xf numFmtId="43" fontId="29" fillId="0" borderId="0" xfId="0" applyNumberFormat="1" applyFont="1" applyFill="1" applyBorder="1" applyAlignment="1" applyProtection="1">
      <alignment horizontal="center" vertical="center"/>
    </xf>
    <xf numFmtId="43" fontId="29" fillId="2" borderId="17" xfId="0" applyNumberFormat="1" applyFont="1" applyFill="1" applyBorder="1" applyAlignment="1" applyProtection="1">
      <alignment vertical="center"/>
    </xf>
    <xf numFmtId="43" fontId="33" fillId="6" borderId="17" xfId="0" applyNumberFormat="1" applyFont="1" applyFill="1" applyBorder="1" applyAlignment="1" applyProtection="1">
      <alignment vertical="center"/>
    </xf>
    <xf numFmtId="0" fontId="29" fillId="6" borderId="5" xfId="0" applyFont="1" applyFill="1" applyBorder="1" applyAlignment="1" applyProtection="1">
      <alignment horizontal="center" vertical="center"/>
    </xf>
    <xf numFmtId="0" fontId="0" fillId="2" borderId="17" xfId="0" applyFill="1" applyBorder="1" applyAlignment="1" applyProtection="1">
      <alignment wrapText="1"/>
      <protection locked="0"/>
    </xf>
    <xf numFmtId="168" fontId="0" fillId="0" borderId="3" xfId="0" applyNumberFormat="1" applyBorder="1" applyProtection="1">
      <protection locked="0"/>
    </xf>
    <xf numFmtId="168" fontId="3" fillId="0" borderId="12" xfId="0" applyNumberFormat="1" applyFont="1" applyBorder="1" applyAlignment="1" applyProtection="1"/>
    <xf numFmtId="168" fontId="0" fillId="2" borderId="16" xfId="0" applyNumberFormat="1" applyFill="1" applyBorder="1" applyProtection="1">
      <protection locked="0"/>
    </xf>
    <xf numFmtId="168" fontId="0" fillId="2" borderId="4" xfId="0" applyNumberFormat="1" applyFill="1" applyBorder="1" applyProtection="1">
      <protection locked="0"/>
    </xf>
    <xf numFmtId="168" fontId="13" fillId="2" borderId="4" xfId="0" applyNumberFormat="1" applyFont="1" applyFill="1" applyBorder="1" applyProtection="1">
      <protection locked="0"/>
    </xf>
    <xf numFmtId="168" fontId="0" fillId="2" borderId="0" xfId="0" applyNumberFormat="1" applyFill="1" applyBorder="1" applyProtection="1">
      <protection locked="0"/>
    </xf>
    <xf numFmtId="168" fontId="3" fillId="2" borderId="12" xfId="0" applyNumberFormat="1" applyFont="1" applyFill="1" applyBorder="1" applyAlignment="1" applyProtection="1"/>
    <xf numFmtId="168" fontId="19" fillId="3" borderId="4" xfId="0" applyNumberFormat="1" applyFont="1" applyFill="1" applyBorder="1" applyProtection="1">
      <protection locked="0"/>
    </xf>
    <xf numFmtId="168" fontId="0" fillId="2" borderId="6" xfId="0" applyNumberFormat="1" applyFill="1" applyBorder="1" applyProtection="1">
      <protection locked="0"/>
    </xf>
    <xf numFmtId="168" fontId="0" fillId="2" borderId="3" xfId="0" applyNumberFormat="1" applyFill="1" applyBorder="1" applyProtection="1">
      <protection locked="0"/>
    </xf>
    <xf numFmtId="168" fontId="3" fillId="2" borderId="12" xfId="0" applyNumberFormat="1" applyFont="1" applyFill="1" applyBorder="1" applyAlignment="1" applyProtection="1">
      <alignment horizontal="left"/>
    </xf>
    <xf numFmtId="168" fontId="0" fillId="2" borderId="4" xfId="0" applyNumberFormat="1" applyFont="1" applyFill="1" applyBorder="1" applyProtection="1">
      <protection locked="0"/>
    </xf>
    <xf numFmtId="168" fontId="0" fillId="0" borderId="0" xfId="0" applyNumberFormat="1" applyBorder="1" applyProtection="1">
      <protection locked="0"/>
    </xf>
    <xf numFmtId="168" fontId="3" fillId="0" borderId="23" xfId="0" applyNumberFormat="1" applyFont="1" applyBorder="1" applyAlignment="1" applyProtection="1">
      <alignment horizontal="left"/>
    </xf>
    <xf numFmtId="168" fontId="0" fillId="0" borderId="9" xfId="0" applyNumberFormat="1" applyBorder="1" applyProtection="1">
      <protection locked="0"/>
    </xf>
    <xf numFmtId="168" fontId="0" fillId="0" borderId="2" xfId="0" applyNumberFormat="1" applyBorder="1" applyProtection="1">
      <protection locked="0"/>
    </xf>
    <xf numFmtId="168" fontId="0" fillId="0" borderId="0" xfId="0" applyNumberFormat="1" applyProtection="1">
      <protection locked="0"/>
    </xf>
    <xf numFmtId="168" fontId="0" fillId="0" borderId="0" xfId="0" applyNumberFormat="1" applyFont="1" applyBorder="1" applyProtection="1">
      <protection locked="0"/>
    </xf>
    <xf numFmtId="168" fontId="0" fillId="0" borderId="0" xfId="0" applyNumberFormat="1" applyFont="1" applyBorder="1"/>
    <xf numFmtId="168" fontId="0" fillId="0" borderId="0" xfId="0" applyNumberFormat="1"/>
    <xf numFmtId="0" fontId="0" fillId="6" borderId="5" xfId="0" applyFont="1" applyFill="1" applyBorder="1" applyAlignment="1" applyProtection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ont="1" applyFill="1" applyAlignment="1">
      <alignment horizontal="center"/>
    </xf>
    <xf numFmtId="0" fontId="24" fillId="0" borderId="0" xfId="3" applyFill="1" applyAlignment="1" applyProtection="1">
      <alignment horizontal="center"/>
    </xf>
    <xf numFmtId="0" fontId="0" fillId="0" borderId="0" xfId="0" applyAlignment="1">
      <alignment horizontal="center"/>
    </xf>
    <xf numFmtId="166" fontId="13" fillId="0" borderId="0" xfId="0" applyNumberFormat="1" applyFont="1" applyFill="1" applyBorder="1" applyAlignment="1">
      <alignment horizontal="left" vertical="center"/>
    </xf>
    <xf numFmtId="166" fontId="0" fillId="0" borderId="0" xfId="0" applyNumberFormat="1" applyAlignment="1">
      <alignment horizontal="center" vertical="center"/>
    </xf>
    <xf numFmtId="166" fontId="0" fillId="0" borderId="0" xfId="0" applyNumberFormat="1" applyFill="1" applyAlignment="1">
      <alignment horizontal="center" vertical="center"/>
    </xf>
    <xf numFmtId="166" fontId="0" fillId="0" borderId="0" xfId="0" applyNumberFormat="1" applyFill="1" applyBorder="1" applyAlignment="1">
      <alignment horizontal="center" vertical="center"/>
    </xf>
    <xf numFmtId="166" fontId="0" fillId="0" borderId="0" xfId="0" applyNumberFormat="1" applyFont="1" applyFill="1" applyAlignment="1">
      <alignment horizontal="center" vertical="center"/>
    </xf>
    <xf numFmtId="166" fontId="13" fillId="0" borderId="0" xfId="0" applyNumberFormat="1" applyFont="1" applyFill="1" applyAlignment="1">
      <alignment horizontal="center" vertical="center"/>
    </xf>
    <xf numFmtId="166" fontId="13" fillId="0" borderId="0" xfId="0" applyNumberFormat="1" applyFont="1" applyFill="1" applyBorder="1" applyAlignment="1">
      <alignment horizontal="center" vertical="center"/>
    </xf>
    <xf numFmtId="166" fontId="3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left"/>
    </xf>
    <xf numFmtId="0" fontId="0" fillId="0" borderId="0" xfId="0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0" fillId="0" borderId="0" xfId="0" applyFont="1" applyFill="1" applyBorder="1" applyAlignment="1">
      <alignment horizontal="left" vertical="center"/>
    </xf>
    <xf numFmtId="0" fontId="32" fillId="0" borderId="0" xfId="0" applyFont="1" applyFill="1" applyBorder="1" applyAlignment="1">
      <alignment horizontal="left" vertical="center"/>
    </xf>
    <xf numFmtId="0" fontId="29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0" fillId="0" borderId="0" xfId="0" applyFont="1" applyFill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16" fontId="13" fillId="0" borderId="0" xfId="0" applyNumberFormat="1" applyFont="1" applyFill="1" applyAlignment="1">
      <alignment horizontal="left"/>
    </xf>
    <xf numFmtId="16" fontId="13" fillId="0" borderId="0" xfId="0" applyNumberFormat="1" applyFont="1" applyFill="1" applyBorder="1" applyAlignment="1">
      <alignment horizontal="left" vertical="center"/>
    </xf>
    <xf numFmtId="0" fontId="13" fillId="0" borderId="0" xfId="0" applyFont="1" applyFill="1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3" fillId="0" borderId="0" xfId="0" applyNumberFormat="1" applyFont="1" applyFill="1" applyAlignment="1">
      <alignment horizontal="left"/>
    </xf>
    <xf numFmtId="0" fontId="0" fillId="0" borderId="3" xfId="0" applyBorder="1" applyAlignment="1" applyProtection="1">
      <alignment horizontal="left" vertical="top" wrapText="1"/>
      <protection locked="0"/>
    </xf>
    <xf numFmtId="0" fontId="0" fillId="0" borderId="6" xfId="0" applyBorder="1" applyAlignment="1" applyProtection="1">
      <alignment horizontal="left" vertical="top" wrapText="1"/>
      <protection locked="0"/>
    </xf>
    <xf numFmtId="0" fontId="0" fillId="0" borderId="0" xfId="0" applyBorder="1" applyAlignment="1" applyProtection="1">
      <alignment horizontal="left" vertical="top" wrapText="1"/>
      <protection locked="0"/>
    </xf>
    <xf numFmtId="0" fontId="0" fillId="0" borderId="7" xfId="0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0" fontId="0" fillId="0" borderId="10" xfId="0" applyBorder="1" applyAlignment="1" applyProtection="1">
      <alignment horizontal="left" vertical="top" wrapText="1"/>
      <protection locked="0"/>
    </xf>
    <xf numFmtId="0" fontId="5" fillId="0" borderId="1" xfId="0" applyFont="1" applyBorder="1" applyAlignment="1" applyProtection="1">
      <alignment horizontal="center"/>
    </xf>
    <xf numFmtId="0" fontId="5" fillId="0" borderId="2" xfId="0" applyFont="1" applyBorder="1" applyAlignment="1" applyProtection="1">
      <alignment horizontal="center"/>
    </xf>
    <xf numFmtId="14" fontId="0" fillId="0" borderId="3" xfId="0" applyNumberFormat="1" applyBorder="1" applyAlignment="1" applyProtection="1">
      <alignment horizontal="left"/>
    </xf>
    <xf numFmtId="0" fontId="3" fillId="0" borderId="3" xfId="0" applyFont="1" applyBorder="1" applyAlignment="1" applyProtection="1">
      <alignment horizontal="left"/>
      <protection locked="0"/>
    </xf>
    <xf numFmtId="0" fontId="3" fillId="0" borderId="6" xfId="0" applyFont="1" applyBorder="1" applyAlignment="1" applyProtection="1">
      <alignment horizontal="left"/>
      <protection locked="0"/>
    </xf>
    <xf numFmtId="14" fontId="3" fillId="0" borderId="0" xfId="0" applyNumberFormat="1" applyFont="1" applyBorder="1" applyAlignment="1" applyProtection="1">
      <alignment horizontal="left"/>
      <protection locked="0"/>
    </xf>
    <xf numFmtId="0" fontId="3" fillId="0" borderId="0" xfId="0" applyFont="1" applyBorder="1" applyAlignment="1" applyProtection="1">
      <alignment horizontal="left"/>
      <protection locked="0"/>
    </xf>
    <xf numFmtId="0" fontId="3" fillId="0" borderId="0" xfId="0" applyFont="1" applyBorder="1" applyAlignment="1" applyProtection="1">
      <alignment horizontal="left"/>
    </xf>
    <xf numFmtId="0" fontId="3" fillId="0" borderId="7" xfId="0" applyFont="1" applyBorder="1" applyAlignment="1" applyProtection="1">
      <alignment horizontal="left"/>
    </xf>
    <xf numFmtId="14" fontId="0" fillId="0" borderId="9" xfId="0" applyNumberFormat="1" applyBorder="1" applyAlignment="1" applyProtection="1">
      <alignment horizontal="left"/>
    </xf>
    <xf numFmtId="0" fontId="9" fillId="7" borderId="1" xfId="0" applyFont="1" applyFill="1" applyBorder="1" applyAlignment="1" applyProtection="1">
      <alignment horizontal="center"/>
    </xf>
    <xf numFmtId="0" fontId="9" fillId="7" borderId="2" xfId="0" applyFont="1" applyFill="1" applyBorder="1" applyAlignment="1" applyProtection="1">
      <alignment horizontal="center"/>
    </xf>
    <xf numFmtId="0" fontId="9" fillId="7" borderId="4" xfId="0" applyFont="1" applyFill="1" applyBorder="1" applyAlignment="1" applyProtection="1">
      <alignment horizontal="center"/>
    </xf>
    <xf numFmtId="0" fontId="3" fillId="0" borderId="11" xfId="0" applyFont="1" applyBorder="1" applyAlignment="1" applyProtection="1">
      <alignment horizontal="left"/>
    </xf>
    <xf numFmtId="0" fontId="3" fillId="0" borderId="3" xfId="0" applyFont="1" applyBorder="1" applyAlignment="1" applyProtection="1">
      <alignment horizontal="left"/>
    </xf>
    <xf numFmtId="0" fontId="3" fillId="0" borderId="5" xfId="0" applyFont="1" applyBorder="1" applyAlignment="1" applyProtection="1">
      <alignment horizontal="left"/>
    </xf>
    <xf numFmtId="0" fontId="25" fillId="6" borderId="11" xfId="0" applyFont="1" applyFill="1" applyBorder="1" applyAlignment="1" applyProtection="1">
      <alignment horizontal="center"/>
      <protection locked="0"/>
    </xf>
    <xf numFmtId="0" fontId="25" fillId="6" borderId="3" xfId="0" applyFont="1" applyFill="1" applyBorder="1" applyAlignment="1" applyProtection="1">
      <alignment horizontal="center"/>
      <protection locked="0"/>
    </xf>
    <xf numFmtId="0" fontId="8" fillId="0" borderId="5" xfId="0" applyFont="1" applyBorder="1" applyAlignment="1" applyProtection="1">
      <alignment horizontal="center"/>
    </xf>
    <xf numFmtId="0" fontId="8" fillId="0" borderId="0" xfId="0" applyFont="1" applyBorder="1" applyAlignment="1" applyProtection="1">
      <alignment horizontal="center"/>
    </xf>
    <xf numFmtId="0" fontId="0" fillId="0" borderId="25" xfId="0" applyBorder="1" applyAlignment="1" applyProtection="1">
      <alignment horizontal="center" vertical="center"/>
      <protection locked="0"/>
    </xf>
    <xf numFmtId="0" fontId="0" fillId="0" borderId="30" xfId="0" applyBorder="1" applyAlignment="1" applyProtection="1">
      <alignment horizontal="center" vertical="center"/>
      <protection locked="0"/>
    </xf>
    <xf numFmtId="0" fontId="0" fillId="0" borderId="31" xfId="0" applyBorder="1" applyAlignment="1" applyProtection="1">
      <alignment horizontal="center" vertical="center"/>
    </xf>
    <xf numFmtId="0" fontId="0" fillId="0" borderId="26" xfId="0" applyBorder="1" applyAlignment="1" applyProtection="1">
      <alignment horizontal="center" vertical="center"/>
    </xf>
    <xf numFmtId="0" fontId="22" fillId="0" borderId="35" xfId="0" applyFont="1" applyBorder="1" applyAlignment="1">
      <alignment horizontal="center" vertical="center"/>
    </xf>
    <xf numFmtId="0" fontId="22" fillId="0" borderId="36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37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22" fillId="0" borderId="3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0" borderId="7" xfId="0" applyFont="1" applyBorder="1" applyAlignment="1" applyProtection="1">
      <alignment horizontal="center"/>
    </xf>
    <xf numFmtId="0" fontId="29" fillId="0" borderId="18" xfId="0" applyFont="1" applyBorder="1" applyAlignment="1" applyProtection="1">
      <alignment horizontal="center" vertical="center"/>
    </xf>
    <xf numFmtId="0" fontId="29" fillId="0" borderId="15" xfId="0" applyFont="1" applyBorder="1" applyAlignment="1" applyProtection="1">
      <alignment horizontal="center" vertical="center"/>
    </xf>
    <xf numFmtId="0" fontId="0" fillId="0" borderId="0" xfId="0" applyAlignment="1">
      <alignment vertical="center"/>
    </xf>
  </cellXfs>
  <cellStyles count="4">
    <cellStyle name="Lien hypertexte" xfId="3" builtinId="8"/>
    <cellStyle name="Normal" xfId="0" builtinId="0"/>
    <cellStyle name="Normal 2" xfId="1"/>
    <cellStyle name="Normal 3" xfId="2"/>
  </cellStyles>
  <dxfs count="3722"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relativeIndent="0" justifyLastLine="0" shrinkToFit="0" readingOrder="0"/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numFmt numFmtId="168" formatCode="d/m;@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numFmt numFmtId="168" formatCode="d/m;@"/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numFmt numFmtId="168" formatCode="d/m;@"/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numFmt numFmtId="168" formatCode="d/m;@"/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theme="0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theme="0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</dxfs>
  <tableStyles count="0" defaultTableStyle="TableStyleMedium9" defaultPivotStyle="PivotStyleLight16"/>
  <colors>
    <mruColors>
      <color rgb="FF00B0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524500" y="704373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733425</xdr:colOff>
          <xdr:row>0</xdr:row>
          <xdr:rowOff>104775</xdr:rowOff>
        </xdr:from>
        <xdr:to>
          <xdr:col>6</xdr:col>
          <xdr:colOff>838200</xdr:colOff>
          <xdr:row>3</xdr:row>
          <xdr:rowOff>66675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Éditer en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733425</xdr:colOff>
          <xdr:row>3</xdr:row>
          <xdr:rowOff>104775</xdr:rowOff>
        </xdr:from>
        <xdr:to>
          <xdr:col>6</xdr:col>
          <xdr:colOff>838200</xdr:colOff>
          <xdr:row>4</xdr:row>
          <xdr:rowOff>9525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 Clients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257175</xdr:colOff>
          <xdr:row>95</xdr:row>
          <xdr:rowOff>76200</xdr:rowOff>
        </xdr:from>
        <xdr:to>
          <xdr:col>6</xdr:col>
          <xdr:colOff>714375</xdr:colOff>
          <xdr:row>97</xdr:row>
          <xdr:rowOff>0</xdr:rowOff>
        </xdr:to>
        <xdr:sp macro="" textlink="">
          <xdr:nvSpPr>
            <xdr:cNvPr id="1056" name="Butto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Bayard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228600</xdr:colOff>
          <xdr:row>140</xdr:row>
          <xdr:rowOff>66675</xdr:rowOff>
        </xdr:from>
        <xdr:to>
          <xdr:col>6</xdr:col>
          <xdr:colOff>704850</xdr:colOff>
          <xdr:row>141</xdr:row>
          <xdr:rowOff>266700</xdr:rowOff>
        </xdr:to>
        <xdr:sp macro="" textlink="">
          <xdr:nvSpPr>
            <xdr:cNvPr id="1062" name="Butto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Bechtel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304800</xdr:colOff>
          <xdr:row>184</xdr:row>
          <xdr:rowOff>28575</xdr:rowOff>
        </xdr:from>
        <xdr:to>
          <xdr:col>6</xdr:col>
          <xdr:colOff>485775</xdr:colOff>
          <xdr:row>185</xdr:row>
          <xdr:rowOff>228600</xdr:rowOff>
        </xdr:to>
        <xdr:sp macro="" textlink="">
          <xdr:nvSpPr>
            <xdr:cNvPr id="1065" name="Butto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Beck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323850</xdr:colOff>
          <xdr:row>228</xdr:row>
          <xdr:rowOff>66675</xdr:rowOff>
        </xdr:from>
        <xdr:to>
          <xdr:col>6</xdr:col>
          <xdr:colOff>904875</xdr:colOff>
          <xdr:row>230</xdr:row>
          <xdr:rowOff>114300</xdr:rowOff>
        </xdr:to>
        <xdr:sp macro="" textlink="">
          <xdr:nvSpPr>
            <xdr:cNvPr id="1074" name="Butto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Benelec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219075</xdr:colOff>
          <xdr:row>274</xdr:row>
          <xdr:rowOff>66675</xdr:rowOff>
        </xdr:from>
        <xdr:to>
          <xdr:col>6</xdr:col>
          <xdr:colOff>571500</xdr:colOff>
          <xdr:row>276</xdr:row>
          <xdr:rowOff>0</xdr:rowOff>
        </xdr:to>
        <xdr:sp macro="" textlink="">
          <xdr:nvSpPr>
            <xdr:cNvPr id="1080" name="Butto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CDE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228600</xdr:colOff>
          <xdr:row>319</xdr:row>
          <xdr:rowOff>114300</xdr:rowOff>
        </xdr:from>
        <xdr:to>
          <xdr:col>6</xdr:col>
          <xdr:colOff>590550</xdr:colOff>
          <xdr:row>321</xdr:row>
          <xdr:rowOff>0</xdr:rowOff>
        </xdr:to>
        <xdr:sp macro="" textlink="">
          <xdr:nvSpPr>
            <xdr:cNvPr id="1087" name="Button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Degriff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247650</xdr:colOff>
          <xdr:row>364</xdr:row>
          <xdr:rowOff>85725</xdr:rowOff>
        </xdr:from>
        <xdr:to>
          <xdr:col>6</xdr:col>
          <xdr:colOff>704850</xdr:colOff>
          <xdr:row>366</xdr:row>
          <xdr:rowOff>0</xdr:rowOff>
        </xdr:to>
        <xdr:sp macro="" textlink="">
          <xdr:nvSpPr>
            <xdr:cNvPr id="1093" name="Button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Ekotherm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247650</xdr:colOff>
          <xdr:row>409</xdr:row>
          <xdr:rowOff>95250</xdr:rowOff>
        </xdr:from>
        <xdr:to>
          <xdr:col>6</xdr:col>
          <xdr:colOff>666750</xdr:colOff>
          <xdr:row>411</xdr:row>
          <xdr:rowOff>9525</xdr:rowOff>
        </xdr:to>
        <xdr:sp macro="" textlink="">
          <xdr:nvSpPr>
            <xdr:cNvPr id="1099" name="Button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Hecker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371475</xdr:colOff>
          <xdr:row>499</xdr:row>
          <xdr:rowOff>85725</xdr:rowOff>
        </xdr:from>
        <xdr:to>
          <xdr:col>6</xdr:col>
          <xdr:colOff>590550</xdr:colOff>
          <xdr:row>501</xdr:row>
          <xdr:rowOff>0</xdr:rowOff>
        </xdr:to>
        <xdr:sp macro="" textlink="">
          <xdr:nvSpPr>
            <xdr:cNvPr id="1111" name="Button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Gabel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466725</xdr:colOff>
          <xdr:row>544</xdr:row>
          <xdr:rowOff>9525</xdr:rowOff>
        </xdr:from>
        <xdr:to>
          <xdr:col>6</xdr:col>
          <xdr:colOff>762000</xdr:colOff>
          <xdr:row>545</xdr:row>
          <xdr:rowOff>219075</xdr:rowOff>
        </xdr:to>
        <xdr:sp macro="" textlink="">
          <xdr:nvSpPr>
            <xdr:cNvPr id="1117" name="Button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Danaci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588</xdr:row>
          <xdr:rowOff>133350</xdr:rowOff>
        </xdr:from>
        <xdr:to>
          <xdr:col>6</xdr:col>
          <xdr:colOff>828675</xdr:colOff>
          <xdr:row>590</xdr:row>
          <xdr:rowOff>228600</xdr:rowOff>
        </xdr:to>
        <xdr:sp macro="" textlink="">
          <xdr:nvSpPr>
            <xdr:cNvPr id="1123" name="Button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SA3 Bâtiment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847725</xdr:colOff>
          <xdr:row>635</xdr:row>
          <xdr:rowOff>9525</xdr:rowOff>
        </xdr:from>
        <xdr:to>
          <xdr:col>6</xdr:col>
          <xdr:colOff>790575</xdr:colOff>
          <xdr:row>636</xdr:row>
          <xdr:rowOff>66675</xdr:rowOff>
        </xdr:to>
        <xdr:sp macro="" textlink="">
          <xdr:nvSpPr>
            <xdr:cNvPr id="1129" name="Button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Hertfelder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123825</xdr:colOff>
          <xdr:row>679</xdr:row>
          <xdr:rowOff>47625</xdr:rowOff>
        </xdr:from>
        <xdr:to>
          <xdr:col>6</xdr:col>
          <xdr:colOff>695325</xdr:colOff>
          <xdr:row>681</xdr:row>
          <xdr:rowOff>19050</xdr:rowOff>
        </xdr:to>
        <xdr:sp macro="" textlink="">
          <xdr:nvSpPr>
            <xdr:cNvPr id="1135" name="Button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Batitout 67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85725</xdr:colOff>
          <xdr:row>724</xdr:row>
          <xdr:rowOff>66675</xdr:rowOff>
        </xdr:from>
        <xdr:to>
          <xdr:col>6</xdr:col>
          <xdr:colOff>847725</xdr:colOff>
          <xdr:row>725</xdr:row>
          <xdr:rowOff>266700</xdr:rowOff>
        </xdr:to>
        <xdr:sp macro="" textlink="">
          <xdr:nvSpPr>
            <xdr:cNvPr id="1141" name="Button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Hilzinger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247650</xdr:colOff>
          <xdr:row>768</xdr:row>
          <xdr:rowOff>123825</xdr:rowOff>
        </xdr:from>
        <xdr:to>
          <xdr:col>6</xdr:col>
          <xdr:colOff>838200</xdr:colOff>
          <xdr:row>770</xdr:row>
          <xdr:rowOff>266700</xdr:rowOff>
        </xdr:to>
        <xdr:sp macro="" textlink="">
          <xdr:nvSpPr>
            <xdr:cNvPr id="1147" name="Button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Euro echafaudage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257175</xdr:colOff>
          <xdr:row>814</xdr:row>
          <xdr:rowOff>104775</xdr:rowOff>
        </xdr:from>
        <xdr:to>
          <xdr:col>6</xdr:col>
          <xdr:colOff>752475</xdr:colOff>
          <xdr:row>816</xdr:row>
          <xdr:rowOff>38100</xdr:rowOff>
        </xdr:to>
        <xdr:sp macro="" textlink="">
          <xdr:nvSpPr>
            <xdr:cNvPr id="1153" name="Button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Kovacic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352425</xdr:colOff>
          <xdr:row>859</xdr:row>
          <xdr:rowOff>114300</xdr:rowOff>
        </xdr:from>
        <xdr:to>
          <xdr:col>6</xdr:col>
          <xdr:colOff>828675</xdr:colOff>
          <xdr:row>861</xdr:row>
          <xdr:rowOff>47625</xdr:rowOff>
        </xdr:to>
        <xdr:sp macro="" textlink="">
          <xdr:nvSpPr>
            <xdr:cNvPr id="1159" name="Button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Neumeyer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66675</xdr:colOff>
          <xdr:row>950</xdr:row>
          <xdr:rowOff>19050</xdr:rowOff>
        </xdr:from>
        <xdr:to>
          <xdr:col>6</xdr:col>
          <xdr:colOff>685800</xdr:colOff>
          <xdr:row>951</xdr:row>
          <xdr:rowOff>85725</xdr:rowOff>
        </xdr:to>
        <xdr:sp macro="" textlink="">
          <xdr:nvSpPr>
            <xdr:cNvPr id="1171" name="Button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Ott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266700</xdr:colOff>
          <xdr:row>994</xdr:row>
          <xdr:rowOff>38100</xdr:rowOff>
        </xdr:from>
        <xdr:to>
          <xdr:col>6</xdr:col>
          <xdr:colOff>619125</xdr:colOff>
          <xdr:row>996</xdr:row>
          <xdr:rowOff>0</xdr:rowOff>
        </xdr:to>
        <xdr:sp macro="" textlink="">
          <xdr:nvSpPr>
            <xdr:cNvPr id="1177" name="Button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Otec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352425</xdr:colOff>
          <xdr:row>1039</xdr:row>
          <xdr:rowOff>66675</xdr:rowOff>
        </xdr:from>
        <xdr:to>
          <xdr:col>6</xdr:col>
          <xdr:colOff>990600</xdr:colOff>
          <xdr:row>1040</xdr:row>
          <xdr:rowOff>266700</xdr:rowOff>
        </xdr:to>
        <xdr:sp macro="" textlink="">
          <xdr:nvSpPr>
            <xdr:cNvPr id="1183" name="Button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Soares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733425</xdr:colOff>
          <xdr:row>903</xdr:row>
          <xdr:rowOff>19050</xdr:rowOff>
        </xdr:from>
        <xdr:to>
          <xdr:col>6</xdr:col>
          <xdr:colOff>809625</xdr:colOff>
          <xdr:row>905</xdr:row>
          <xdr:rowOff>66675</xdr:rowOff>
        </xdr:to>
        <xdr:sp macro="" textlink="">
          <xdr:nvSpPr>
            <xdr:cNvPr id="1186" name="Button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Meyer Energies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1083</xdr:row>
          <xdr:rowOff>171450</xdr:rowOff>
        </xdr:from>
        <xdr:to>
          <xdr:col>6</xdr:col>
          <xdr:colOff>1038225</xdr:colOff>
          <xdr:row>1086</xdr:row>
          <xdr:rowOff>9525</xdr:rowOff>
        </xdr:to>
        <xdr:sp macro="" textlink="">
          <xdr:nvSpPr>
            <xdr:cNvPr id="1189" name="Button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Industrie Service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219075</xdr:colOff>
          <xdr:row>1129</xdr:row>
          <xdr:rowOff>85725</xdr:rowOff>
        </xdr:from>
        <xdr:to>
          <xdr:col>6</xdr:col>
          <xdr:colOff>723900</xdr:colOff>
          <xdr:row>1131</xdr:row>
          <xdr:rowOff>47625</xdr:rowOff>
        </xdr:to>
        <xdr:sp macro="" textlink="">
          <xdr:nvSpPr>
            <xdr:cNvPr id="1195" name="Button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Soprema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247650</xdr:colOff>
          <xdr:row>1174</xdr:row>
          <xdr:rowOff>123825</xdr:rowOff>
        </xdr:from>
        <xdr:to>
          <xdr:col>6</xdr:col>
          <xdr:colOff>676275</xdr:colOff>
          <xdr:row>1176</xdr:row>
          <xdr:rowOff>38100</xdr:rowOff>
        </xdr:to>
        <xdr:sp macro="" textlink="">
          <xdr:nvSpPr>
            <xdr:cNvPr id="1201" name="Button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Tasteper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276225</xdr:colOff>
          <xdr:row>1219</xdr:row>
          <xdr:rowOff>66675</xdr:rowOff>
        </xdr:from>
        <xdr:to>
          <xdr:col>6</xdr:col>
          <xdr:colOff>533400</xdr:colOff>
          <xdr:row>1220</xdr:row>
          <xdr:rowOff>266700</xdr:rowOff>
        </xdr:to>
        <xdr:sp macro="" textlink="">
          <xdr:nvSpPr>
            <xdr:cNvPr id="1207" name="Button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Tema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219075</xdr:colOff>
          <xdr:row>1264</xdr:row>
          <xdr:rowOff>28575</xdr:rowOff>
        </xdr:from>
        <xdr:to>
          <xdr:col>6</xdr:col>
          <xdr:colOff>647700</xdr:colOff>
          <xdr:row>1265</xdr:row>
          <xdr:rowOff>266700</xdr:rowOff>
        </xdr:to>
        <xdr:sp macro="" textlink="">
          <xdr:nvSpPr>
            <xdr:cNvPr id="1213" name="Button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Abisol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714375</xdr:colOff>
          <xdr:row>48</xdr:row>
          <xdr:rowOff>304800</xdr:rowOff>
        </xdr:from>
        <xdr:to>
          <xdr:col>6</xdr:col>
          <xdr:colOff>942975</xdr:colOff>
          <xdr:row>51</xdr:row>
          <xdr:rowOff>57150</xdr:rowOff>
        </xdr:to>
        <xdr:sp macro="" textlink="">
          <xdr:nvSpPr>
            <xdr:cNvPr id="1226" name="Button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Au Coin Du Feu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266700</xdr:colOff>
          <xdr:row>454</xdr:row>
          <xdr:rowOff>57150</xdr:rowOff>
        </xdr:from>
        <xdr:to>
          <xdr:col>6</xdr:col>
          <xdr:colOff>838200</xdr:colOff>
          <xdr:row>455</xdr:row>
          <xdr:rowOff>257175</xdr:rowOff>
        </xdr:to>
        <xdr:sp macro="" textlink="">
          <xdr:nvSpPr>
            <xdr:cNvPr id="1228" name="Button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FMS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733425</xdr:colOff>
          <xdr:row>4</xdr:row>
          <xdr:rowOff>57150</xdr:rowOff>
        </xdr:from>
        <xdr:to>
          <xdr:col>6</xdr:col>
          <xdr:colOff>847725</xdr:colOff>
          <xdr:row>6</xdr:row>
          <xdr:rowOff>142875</xdr:rowOff>
        </xdr:to>
        <xdr:sp macro="" textlink="">
          <xdr:nvSpPr>
            <xdr:cNvPr id="1233" name="Button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Info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847725</xdr:colOff>
          <xdr:row>1309</xdr:row>
          <xdr:rowOff>28575</xdr:rowOff>
        </xdr:from>
        <xdr:to>
          <xdr:col>6</xdr:col>
          <xdr:colOff>647700</xdr:colOff>
          <xdr:row>1310</xdr:row>
          <xdr:rowOff>266700</xdr:rowOff>
        </xdr:to>
        <xdr:sp macro="" textlink="">
          <xdr:nvSpPr>
            <xdr:cNvPr id="1236" name="Button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Habitat de l'orangerie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847725</xdr:colOff>
          <xdr:row>1354</xdr:row>
          <xdr:rowOff>28575</xdr:rowOff>
        </xdr:from>
        <xdr:to>
          <xdr:col>6</xdr:col>
          <xdr:colOff>647700</xdr:colOff>
          <xdr:row>1355</xdr:row>
          <xdr:rowOff>266700</xdr:rowOff>
        </xdr:to>
        <xdr:sp macro="" textlink="">
          <xdr:nvSpPr>
            <xdr:cNvPr id="1239" name="Button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PK Concept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B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C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F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10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11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12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14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15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16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17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18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19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1A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1C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1D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1E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2706" displayName="Tableau2706" ref="C7:H25" totalsRowShown="0" headerRowDxfId="3651" dataDxfId="3649" headerRowBorderDxfId="3650" tableBorderDxfId="3648" totalsRowBorderDxfId="3647">
  <tableColumns count="6">
    <tableColumn id="1" name="Type d'intervention" dataDxfId="3646"/>
    <tableColumn id="2" name="Entreprise" dataDxfId="3645"/>
    <tableColumn id="12" name="S" dataDxfId="3644"/>
    <tableColumn id="3" name="   Date" dataDxfId="3643"/>
    <tableColumn id="5" name="Avancement" dataDxfId="3642"/>
    <tableColumn id="4" name="Commentaires" dataDxfId="3641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4707" displayName="Tableau4707" ref="C28:H44" totalsRowShown="0" headerRowDxfId="3640" dataDxfId="3638" headerRowBorderDxfId="3639" tableBorderDxfId="3637" totalsRowBorderDxfId="3636">
  <tableColumns count="6">
    <tableColumn id="1" name="Type d'intervention" dataDxfId="3635"/>
    <tableColumn id="2" name="Entreprise" dataDxfId="3634"/>
    <tableColumn id="6" name="S" dataDxfId="3633">
      <calculatedColumnFormula>IF(E24="","",MOD(E24+1,52))</calculatedColumnFormula>
    </tableColumn>
    <tableColumn id="3" name="Date" dataDxfId="3632"/>
    <tableColumn id="4" name="Avancement" dataDxfId="3631"/>
    <tableColumn id="5" name="Commentaires" dataDxfId="3630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3" name="Tableau5708" displayName="Tableau5708" ref="C47:H51" totalsRowShown="0" headerRowDxfId="3629" dataDxfId="3627" headerRowBorderDxfId="3628" tableBorderDxfId="3626" totalsRowBorderDxfId="3625">
  <tableColumns count="6">
    <tableColumn id="1" name="Type d'intervention" dataDxfId="3624"/>
    <tableColumn id="2" name="Entreprise" dataDxfId="3623">
      <calculatedColumnFormula>D10</calculatedColumnFormula>
    </tableColumn>
    <tableColumn id="6" name=" " dataDxfId="3622">
      <calculatedColumnFormula>IF(E30="","",MOD(E30+1,52))</calculatedColumnFormula>
    </tableColumn>
    <tableColumn id="3" name="Date" dataDxfId="3621"/>
    <tableColumn id="4" name="Avancement" dataDxfId="3620"/>
    <tableColumn id="5" name="Commentaires" dataDxfId="3619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4" name="Tableau25712" displayName="Tableau25712" ref="C54:F58" totalsRowShown="0" headerRowDxfId="3618" dataDxfId="3616" headerRowBorderDxfId="3617" tableBorderDxfId="3615" totalsRowBorderDxfId="3614">
  <tableColumns count="4">
    <tableColumn id="1" name="réunion" dataDxfId="3613"/>
    <tableColumn id="2" name="date" dataDxfId="3612"/>
    <tableColumn id="4" name=" " dataDxfId="3611"/>
    <tableColumn id="3" name="état" dataDxfId="3610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81" name="Tableau81" displayName="Tableau81" ref="A9:G39" totalsRowShown="0" dataDxfId="29">
  <autoFilter ref="A9:G39"/>
  <tableColumns count="7">
    <tableColumn id="1" name="CLIENTS" dataDxfId="3609"/>
    <tableColumn id="13" name="LOCALISATION" dataDxfId="3608"/>
    <tableColumn id="2" name="STADE D'AVANCEMENT" dataDxfId="3607"/>
    <tableColumn id="3" name="INTERVENTION À EFFECTUER" dataDxfId="3606"/>
    <tableColumn id="4" name="DATE DEMANDÉE" dataDxfId="3605">
      <calculatedColumnFormula>INT(MOD(INT((LISTE!D1-2)/7)+0.6,52+5/28))+1</calculatedColumnFormula>
    </tableColumn>
    <tableColumn id="5" name="DATE D'INTERVENTION" dataDxfId="3604"/>
    <tableColumn id="6" name="OBSERVATIONS" dataDxfId="3603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86" name="Tableau8187" displayName="Tableau8187" ref="A99:G129" totalsRowShown="0" dataDxfId="27">
  <autoFilter ref="A99:G129"/>
  <tableColumns count="7">
    <tableColumn id="1" name="CLIENTS" dataDxfId="3602"/>
    <tableColumn id="7" name="LOCALISATION" dataDxfId="3601">
      <calculatedColumnFormula>B10</calculatedColumnFormula>
    </tableColumn>
    <tableColumn id="2" name="STADE D'AVANCEMENT" dataDxfId="3600">
      <calculatedColumnFormula>C10</calculatedColumnFormula>
    </tableColumn>
    <tableColumn id="3" name="INTERVENTION À EFFECTUER" dataDxfId="3599"/>
    <tableColumn id="4" name="DATE DEMANDÉE" dataDxfId="3598"/>
    <tableColumn id="5" name="DATE D'INTERVENTION" dataDxfId="3597"/>
    <tableColumn id="6" name="OBSERVATIONS" dataDxfId="3596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88" name="Tableau818789" displayName="Tableau818789" ref="A144:G174" totalsRowShown="0" dataDxfId="26">
  <autoFilter ref="A144:G174"/>
  <tableColumns count="7">
    <tableColumn id="1" name="CLIENTS" dataDxfId="3595"/>
    <tableColumn id="7" name="LOCALISATION" dataDxfId="3594">
      <calculatedColumnFormula>B10</calculatedColumnFormula>
    </tableColumn>
    <tableColumn id="2" name="STADE D'AVANCEMENT" dataDxfId="3593">
      <calculatedColumnFormula>C10</calculatedColumnFormula>
    </tableColumn>
    <tableColumn id="3" name="INTERVENTION À EFFECTUER" dataDxfId="3592"/>
    <tableColumn id="4" name="DATE DEMANDÉE" dataDxfId="3591"/>
    <tableColumn id="5" name="DATE D'INTERVENTION" dataDxfId="3590"/>
    <tableColumn id="6" name="OBSERVATIONS" dataDxfId="3589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id="93" name="Tableau81878994" displayName="Tableau81878994" ref="A188:G218" totalsRowShown="0" dataDxfId="25">
  <autoFilter ref="A188:G218"/>
  <tableColumns count="7">
    <tableColumn id="1" name="CLIENTS" dataDxfId="3588"/>
    <tableColumn id="7" name="LOCALISATION" dataDxfId="3587">
      <calculatedColumnFormula>B10</calculatedColumnFormula>
    </tableColumn>
    <tableColumn id="2" name="STADE D'AVANCEMENT" dataDxfId="3586">
      <calculatedColumnFormula>C10</calculatedColumnFormula>
    </tableColumn>
    <tableColumn id="3" name="INTERVENTION À EFFECTUER" dataDxfId="3585"/>
    <tableColumn id="4" name="DATE DEMANDÉE" dataDxfId="3584"/>
    <tableColumn id="5" name="DATE D'INTERVENTION" dataDxfId="3583"/>
    <tableColumn id="6" name="OBSERVATIONS" dataDxfId="3582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94" name="Tableau8187899495" displayName="Tableau8187899495" ref="A233:G263" totalsRowShown="0" dataDxfId="24">
  <autoFilter ref="A233:G263"/>
  <tableColumns count="7">
    <tableColumn id="1" name="CLIENTS" dataDxfId="3581"/>
    <tableColumn id="7" name="LOCALISATION" dataDxfId="3580">
      <calculatedColumnFormula>B10</calculatedColumnFormula>
    </tableColumn>
    <tableColumn id="2" name="STADE D'AVANCEMENT" dataDxfId="3579">
      <calculatedColumnFormula>C10</calculatedColumnFormula>
    </tableColumn>
    <tableColumn id="3" name="INTERVENTION À EFFECTUER" dataDxfId="3578"/>
    <tableColumn id="4" name="DATE DEMANDÉE" dataDxfId="3577"/>
    <tableColumn id="5" name="DATE D'INTERVENTION" dataDxfId="3576"/>
    <tableColumn id="6" name="OBSERVATIONS" dataDxfId="3575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id="95" name="Tableau818789949596" displayName="Tableau818789949596" ref="A278:G308" totalsRowShown="0" dataDxfId="23">
  <autoFilter ref="A278:G308"/>
  <tableColumns count="7">
    <tableColumn id="1" name="CLIENTS" dataDxfId="3574"/>
    <tableColumn id="7" name="LOCALISATION" dataDxfId="3573">
      <calculatedColumnFormula>B10</calculatedColumnFormula>
    </tableColumn>
    <tableColumn id="2" name="STADE D'AVANCEMENT" dataDxfId="3572">
      <calculatedColumnFormula>C234</calculatedColumnFormula>
    </tableColumn>
    <tableColumn id="3" name="INTERVENTION À EFFECTUER" dataDxfId="3571"/>
    <tableColumn id="4" name="DATE DEMANDÉE" dataDxfId="3570"/>
    <tableColumn id="5" name="DATE D'INTERVENTION" dataDxfId="3569"/>
    <tableColumn id="6" name="OBSERVATIONS" dataDxfId="3568"/>
  </tableColumns>
  <tableStyleInfo name="TableStyleMedium9" showFirstColumn="0" showLastColumn="0" showRowStripes="1" showColumnStripes="0"/>
</table>
</file>

<file path=xl/tables/table11.xml><?xml version="1.0" encoding="utf-8"?>
<table xmlns="http://schemas.openxmlformats.org/spreadsheetml/2006/main" id="96" name="Tableau81878994959697" displayName="Tableau81878994959697" ref="A323:G353" totalsRowShown="0" dataDxfId="22">
  <autoFilter ref="A323:G353"/>
  <tableColumns count="7">
    <tableColumn id="1" name="CLIENTS" dataDxfId="3567"/>
    <tableColumn id="7" name="LOCALISATION" dataDxfId="3566">
      <calculatedColumnFormula>B10</calculatedColumnFormula>
    </tableColumn>
    <tableColumn id="2" name="STADE D'AVANCEMENT" dataDxfId="3565">
      <calculatedColumnFormula>C279</calculatedColumnFormula>
    </tableColumn>
    <tableColumn id="3" name="INTERVENTION À EFFECTUER" dataDxfId="3564"/>
    <tableColumn id="4" name="DATE DEMANDÉE" dataDxfId="3563"/>
    <tableColumn id="5" name="DATE D'INTERVENTION" dataDxfId="3562"/>
    <tableColumn id="6" name="OBSERVATIONS" dataDxfId="3561"/>
  </tableColumns>
  <tableStyleInfo name="TableStyleMedium9" showFirstColumn="0" showLastColumn="0" showRowStripes="1" showColumnStripes="0"/>
</table>
</file>

<file path=xl/tables/table12.xml><?xml version="1.0" encoding="utf-8"?>
<table xmlns="http://schemas.openxmlformats.org/spreadsheetml/2006/main" id="101" name="Tableau81878994959697102" displayName="Tableau81878994959697102" ref="A368:G398" totalsRowShown="0" dataDxfId="21">
  <autoFilter ref="A368:G398"/>
  <tableColumns count="7">
    <tableColumn id="1" name="CLIENTS" dataDxfId="3560"/>
    <tableColumn id="7" name="LOCALISATION" dataDxfId="3559">
      <calculatedColumnFormula>B10</calculatedColumnFormula>
    </tableColumn>
    <tableColumn id="2" name="STADE D'AVANCEMENT" dataDxfId="3558">
      <calculatedColumnFormula>C324</calculatedColumnFormula>
    </tableColumn>
    <tableColumn id="3" name="INTERVENTION À EFFECTUER" dataDxfId="3557"/>
    <tableColumn id="4" name="DATE DEMANDÉE" dataDxfId="3556"/>
    <tableColumn id="5" name="DATE D'INTERVENTION" dataDxfId="3555"/>
    <tableColumn id="6" name="OBSERVATIONS" dataDxfId="3554"/>
  </tableColumns>
  <tableStyleInfo name="TableStyleMedium9" showFirstColumn="0" showLastColumn="0" showRowStripes="1" showColumnStripes="0"/>
</table>
</file>

<file path=xl/tables/table13.xml><?xml version="1.0" encoding="utf-8"?>
<table xmlns="http://schemas.openxmlformats.org/spreadsheetml/2006/main" id="102" name="Tableau81878994959697102103" displayName="Tableau81878994959697102103" ref="A413:G443" totalsRowShown="0" dataDxfId="20">
  <autoFilter ref="A413:G443"/>
  <tableColumns count="7">
    <tableColumn id="1" name="CLIENTS" dataDxfId="3553"/>
    <tableColumn id="7" name="LOCALISATION" dataDxfId="3552">
      <calculatedColumnFormula>B10</calculatedColumnFormula>
    </tableColumn>
    <tableColumn id="2" name="STADE D'AVANCEMENT" dataDxfId="3551">
      <calculatedColumnFormula>C369</calculatedColumnFormula>
    </tableColumn>
    <tableColumn id="3" name="INTERVENTION À EFFECTUER" dataDxfId="3550"/>
    <tableColumn id="4" name="DATE DEMANDÉE" dataDxfId="3549"/>
    <tableColumn id="5" name="DATE D'INTERVENTION" dataDxfId="3548"/>
    <tableColumn id="6" name="OBSERVATIONS" dataDxfId="3547"/>
  </tableColumns>
  <tableStyleInfo name="TableStyleMedium9" showFirstColumn="0" showLastColumn="0" showRowStripes="1" showColumnStripes="0"/>
</table>
</file>

<file path=xl/tables/table14.xml><?xml version="1.0" encoding="utf-8"?>
<table xmlns="http://schemas.openxmlformats.org/spreadsheetml/2006/main" id="103" name="Tableau81878994959697102104" displayName="Tableau81878994959697102104" ref="A458:G488" totalsRowShown="0" dataDxfId="19">
  <autoFilter ref="A458:G488"/>
  <tableColumns count="7">
    <tableColumn id="1" name="CLIENTS" dataDxfId="3546"/>
    <tableColumn id="7" name="LOCALISATION" dataDxfId="3545">
      <calculatedColumnFormula>B10</calculatedColumnFormula>
    </tableColumn>
    <tableColumn id="2" name="STADE D'AVANCEMENT" dataDxfId="3544">
      <calculatedColumnFormula>C414</calculatedColumnFormula>
    </tableColumn>
    <tableColumn id="3" name="INTERVENTION À EFFECTUER" dataDxfId="3543"/>
    <tableColumn id="4" name="DATE DEMANDÉE" dataDxfId="3542"/>
    <tableColumn id="5" name="DATE D'INTERVENTION" dataDxfId="3541"/>
    <tableColumn id="6" name="OBSERVATIONS" dataDxfId="3540"/>
  </tableColumns>
  <tableStyleInfo name="TableStyleMedium9" showFirstColumn="0" showLastColumn="0" showRowStripes="1" showColumnStripes="0"/>
</table>
</file>

<file path=xl/tables/table15.xml><?xml version="1.0" encoding="utf-8"?>
<table xmlns="http://schemas.openxmlformats.org/spreadsheetml/2006/main" id="104" name="Tableau81878994959697102105" displayName="Tableau81878994959697102105" ref="A503:G533" totalsRowShown="0" dataDxfId="18">
  <autoFilter ref="A503:G533"/>
  <tableColumns count="7">
    <tableColumn id="1" name="CLIENTS" dataDxfId="3539"/>
    <tableColumn id="7" name="LOCALISATION" dataDxfId="3538">
      <calculatedColumnFormula>B10</calculatedColumnFormula>
    </tableColumn>
    <tableColumn id="2" name="STADE D'AVANCEMENT" dataDxfId="3537">
      <calculatedColumnFormula>C459</calculatedColumnFormula>
    </tableColumn>
    <tableColumn id="3" name="INTERVENTION À EFFECTUER" dataDxfId="3536"/>
    <tableColumn id="4" name="DATE DEMANDÉE" dataDxfId="3535"/>
    <tableColumn id="5" name="DATE D'INTERVENTION" dataDxfId="3534"/>
    <tableColumn id="6" name="OBSERVATIONS" dataDxfId="3533"/>
  </tableColumns>
  <tableStyleInfo name="TableStyleMedium9" showFirstColumn="0" showLastColumn="0" showRowStripes="1" showColumnStripes="0"/>
</table>
</file>

<file path=xl/tables/table16.xml><?xml version="1.0" encoding="utf-8"?>
<table xmlns="http://schemas.openxmlformats.org/spreadsheetml/2006/main" id="105" name="Tableau81878994959697102106" displayName="Tableau81878994959697102106" ref="A548:G578" totalsRowShown="0" dataDxfId="17">
  <autoFilter ref="A548:G578"/>
  <tableColumns count="7">
    <tableColumn id="1" name="CLIENTS" dataDxfId="3532"/>
    <tableColumn id="7" name="LOCALISATION" dataDxfId="3531">
      <calculatedColumnFormula>B10</calculatedColumnFormula>
    </tableColumn>
    <tableColumn id="2" name="STADE D'AVANCEMENT" dataDxfId="3530">
      <calculatedColumnFormula>C504</calculatedColumnFormula>
    </tableColumn>
    <tableColumn id="3" name="INTERVENTION À EFFECTUER" dataDxfId="3529"/>
    <tableColumn id="4" name="DATE DEMANDÉE" dataDxfId="3528"/>
    <tableColumn id="5" name="DATE D'INTERVENTION" dataDxfId="3527"/>
    <tableColumn id="6" name="OBSERVATIONS" dataDxfId="3526"/>
  </tableColumns>
  <tableStyleInfo name="TableStyleMedium9" showFirstColumn="0" showLastColumn="0" showRowStripes="1" showColumnStripes="0"/>
</table>
</file>

<file path=xl/tables/table17.xml><?xml version="1.0" encoding="utf-8"?>
<table xmlns="http://schemas.openxmlformats.org/spreadsheetml/2006/main" id="106" name="Tableau81878994959697102107" displayName="Tableau81878994959697102107" ref="A593:G623" totalsRowShown="0" dataDxfId="16">
  <autoFilter ref="A593:G623"/>
  <tableColumns count="7">
    <tableColumn id="1" name="CLIENTS" dataDxfId="3525"/>
    <tableColumn id="7" name="LOCALISATION" dataDxfId="3524">
      <calculatedColumnFormula>B10</calculatedColumnFormula>
    </tableColumn>
    <tableColumn id="2" name="STADE D'AVANCEMENT" dataDxfId="3523">
      <calculatedColumnFormula>C549</calculatedColumnFormula>
    </tableColumn>
    <tableColumn id="3" name="INTERVENTION À EFFECTUER" dataDxfId="3522"/>
    <tableColumn id="4" name="DATE DEMANDÉE" dataDxfId="3521"/>
    <tableColumn id="5" name="DATE D'INTERVENTION" dataDxfId="3520"/>
    <tableColumn id="6" name="OBSERVATIONS" dataDxfId="3519"/>
  </tableColumns>
  <tableStyleInfo name="TableStyleMedium9" showFirstColumn="0" showLastColumn="0" showRowStripes="1" showColumnStripes="0"/>
</table>
</file>

<file path=xl/tables/table18.xml><?xml version="1.0" encoding="utf-8"?>
<table xmlns="http://schemas.openxmlformats.org/spreadsheetml/2006/main" id="107" name="Tableau81878994959697102108" displayName="Tableau81878994959697102108" ref="A638:G668" totalsRowShown="0" dataDxfId="15">
  <autoFilter ref="A638:G668"/>
  <tableColumns count="7">
    <tableColumn id="1" name="CLIENTS" dataDxfId="3518"/>
    <tableColumn id="7" name="LOCALISATION" dataDxfId="3517">
      <calculatedColumnFormula>B10</calculatedColumnFormula>
    </tableColumn>
    <tableColumn id="2" name="STADE D'AVANCEMENT" dataDxfId="3516">
      <calculatedColumnFormula>C594</calculatedColumnFormula>
    </tableColumn>
    <tableColumn id="3" name="INTERVENTION À EFFECTUER" dataDxfId="3515"/>
    <tableColumn id="4" name="DATE DEMANDÉE" dataDxfId="3514"/>
    <tableColumn id="5" name="DATE D'INTERVENTION" dataDxfId="3513"/>
    <tableColumn id="6" name="OBSERVATIONS" dataDxfId="3512"/>
  </tableColumns>
  <tableStyleInfo name="TableStyleMedium9" showFirstColumn="0" showLastColumn="0" showRowStripes="1" showColumnStripes="0"/>
</table>
</file>

<file path=xl/tables/table19.xml><?xml version="1.0" encoding="utf-8"?>
<table xmlns="http://schemas.openxmlformats.org/spreadsheetml/2006/main" id="108" name="Tableau81878994959697102109" displayName="Tableau81878994959697102109" ref="A683:G713" totalsRowShown="0" dataDxfId="14">
  <autoFilter ref="A683:G713"/>
  <tableColumns count="7">
    <tableColumn id="1" name="CLIENTS" dataDxfId="3511"/>
    <tableColumn id="7" name="LOCALISATION" dataDxfId="3510">
      <calculatedColumnFormula>B10</calculatedColumnFormula>
    </tableColumn>
    <tableColumn id="2" name="STADE D'AVANCEMENT" dataDxfId="3509">
      <calculatedColumnFormula>C639</calculatedColumnFormula>
    </tableColumn>
    <tableColumn id="3" name="INTERVENTION À EFFECTUER" dataDxfId="3508"/>
    <tableColumn id="4" name="DATE DEMANDÉE" dataDxfId="3507"/>
    <tableColumn id="5" name="DATE D'INTERVENTION" dataDxfId="3506"/>
    <tableColumn id="6" name="OBSERVATIONS" dataDxfId="3505"/>
  </tableColumns>
  <tableStyleInfo name="TableStyleMedium9" showFirstColumn="0" showLastColumn="0" showRowStripes="1" showColumnStripes="0"/>
</table>
</file>

<file path=xl/tables/table20.xml><?xml version="1.0" encoding="utf-8"?>
<table xmlns="http://schemas.openxmlformats.org/spreadsheetml/2006/main" id="109" name="Tableau81878994959697102110" displayName="Tableau81878994959697102110" ref="A728:G758" totalsRowShown="0" dataDxfId="13">
  <autoFilter ref="A728:G758"/>
  <tableColumns count="7">
    <tableColumn id="1" name="CLIENTS" dataDxfId="3504"/>
    <tableColumn id="7" name="LOCALISATION" dataDxfId="3503">
      <calculatedColumnFormula>B10</calculatedColumnFormula>
    </tableColumn>
    <tableColumn id="2" name="STADE D'AVANCEMENT" dataDxfId="3502">
      <calculatedColumnFormula>C10</calculatedColumnFormula>
    </tableColumn>
    <tableColumn id="3" name="INTERVENTION À EFFECTUER" dataDxfId="3501"/>
    <tableColumn id="4" name="DATE DEMANDÉE" dataDxfId="3500"/>
    <tableColumn id="5" name="DATE D'INTERVENTION" dataDxfId="3499"/>
    <tableColumn id="6" name="OBSERVATIONS" dataDxfId="3498"/>
  </tableColumns>
  <tableStyleInfo name="TableStyleMedium9" showFirstColumn="0" showLastColumn="0" showRowStripes="1" showColumnStripes="0"/>
</table>
</file>

<file path=xl/tables/table21.xml><?xml version="1.0" encoding="utf-8"?>
<table xmlns="http://schemas.openxmlformats.org/spreadsheetml/2006/main" id="110" name="Tableau81878994959697102111" displayName="Tableau81878994959697102111" ref="A773:G803" totalsRowShown="0" dataDxfId="12">
  <autoFilter ref="A773:G803"/>
  <tableColumns count="7">
    <tableColumn id="1" name="CLIENTS" dataDxfId="3497"/>
    <tableColumn id="7" name="LOCALISATION" dataDxfId="3496">
      <calculatedColumnFormula>B10</calculatedColumnFormula>
    </tableColumn>
    <tableColumn id="2" name="STADE D'AVANCEMENT" dataDxfId="3495">
      <calculatedColumnFormula>C729</calculatedColumnFormula>
    </tableColumn>
    <tableColumn id="3" name="INTERVENTION À EFFECTUER" dataDxfId="3494"/>
    <tableColumn id="4" name="DATE DEMANDÉE" dataDxfId="3493"/>
    <tableColumn id="5" name="DATE D'INTERVENTION" dataDxfId="3492"/>
    <tableColumn id="6" name="OBSERVATIONS" dataDxfId="3491"/>
  </tableColumns>
  <tableStyleInfo name="TableStyleMedium9" showFirstColumn="0" showLastColumn="0" showRowStripes="1" showColumnStripes="0"/>
</table>
</file>

<file path=xl/tables/table22.xml><?xml version="1.0" encoding="utf-8"?>
<table xmlns="http://schemas.openxmlformats.org/spreadsheetml/2006/main" id="111" name="Tableau81878994959697102111112" displayName="Tableau81878994959697102111112" ref="A818:G848" totalsRowShown="0" dataDxfId="11">
  <autoFilter ref="A818:G848"/>
  <tableColumns count="7">
    <tableColumn id="1" name="CLIENTS" dataDxfId="3490"/>
    <tableColumn id="7" name="LOCALISATION" dataDxfId="3489">
      <calculatedColumnFormula>B10</calculatedColumnFormula>
    </tableColumn>
    <tableColumn id="2" name="STADE D'AVANCEMENT" dataDxfId="3488">
      <calculatedColumnFormula>C774</calculatedColumnFormula>
    </tableColumn>
    <tableColumn id="3" name="INTERVENTION À EFFECTUER" dataDxfId="3487"/>
    <tableColumn id="4" name="DATE DEMANDÉE" dataDxfId="3486"/>
    <tableColumn id="5" name="DATE D'INTERVENTION" dataDxfId="3485"/>
    <tableColumn id="6" name="OBSERVATIONS" dataDxfId="3484"/>
  </tableColumns>
  <tableStyleInfo name="TableStyleMedium9" showFirstColumn="0" showLastColumn="0" showRowStripes="1" showColumnStripes="0"/>
</table>
</file>

<file path=xl/tables/table23.xml><?xml version="1.0" encoding="utf-8"?>
<table xmlns="http://schemas.openxmlformats.org/spreadsheetml/2006/main" id="112" name="Tableau81878994959697102111113" displayName="Tableau81878994959697102111113" ref="A863:G893" totalsRowShown="0">
  <autoFilter ref="A863:G893"/>
  <tableColumns count="7">
    <tableColumn id="1" name="CLIENTS" dataDxfId="3483"/>
    <tableColumn id="7" name="LOCALISATION" dataDxfId="3482">
      <calculatedColumnFormula>B10</calculatedColumnFormula>
    </tableColumn>
    <tableColumn id="2" name="STADE D'AVANCEMENT" dataDxfId="3481">
      <calculatedColumnFormula>C819</calculatedColumnFormula>
    </tableColumn>
    <tableColumn id="3" name="INTERVENTION À EFFECTUER" dataDxfId="3480"/>
    <tableColumn id="4" name="DATE DEMANDÉE" dataDxfId="3479"/>
    <tableColumn id="5" name="DATE D'INTERVENTION" dataDxfId="3478"/>
    <tableColumn id="6" name="OBSERVATIONS" dataDxfId="3477"/>
  </tableColumns>
  <tableStyleInfo name="TableStyleMedium9" showFirstColumn="0" showLastColumn="0" showRowStripes="1" showColumnStripes="0"/>
</table>
</file>

<file path=xl/tables/table24.xml><?xml version="1.0" encoding="utf-8"?>
<table xmlns="http://schemas.openxmlformats.org/spreadsheetml/2006/main" id="113" name="Tableau81878994959697102111114" displayName="Tableau81878994959697102111114" ref="A908:G938" totalsRowShown="0" dataDxfId="10">
  <autoFilter ref="A908:G938"/>
  <tableColumns count="7">
    <tableColumn id="1" name="CLIENTS" dataDxfId="3476"/>
    <tableColumn id="7" name="LOCALISATION" dataDxfId="3475">
      <calculatedColumnFormula>B10</calculatedColumnFormula>
    </tableColumn>
    <tableColumn id="2" name="STADE D'AVANCEMENT" dataDxfId="3474">
      <calculatedColumnFormula>C864</calculatedColumnFormula>
    </tableColumn>
    <tableColumn id="3" name="INTERVENTION À EFFECTUER" dataDxfId="3473"/>
    <tableColumn id="4" name="DATE DEMANDÉE" dataDxfId="3472"/>
    <tableColumn id="5" name="DATE D'INTERVENTION" dataDxfId="3471"/>
    <tableColumn id="6" name="OBSERVATIONS" dataDxfId="3470"/>
  </tableColumns>
  <tableStyleInfo name="TableStyleMedium9" showFirstColumn="0" showLastColumn="0" showRowStripes="1" showColumnStripes="0"/>
</table>
</file>

<file path=xl/tables/table25.xml><?xml version="1.0" encoding="utf-8"?>
<table xmlns="http://schemas.openxmlformats.org/spreadsheetml/2006/main" id="114" name="Tableau81878994959697102111115" displayName="Tableau81878994959697102111115" ref="A953:G983" totalsRowShown="0" dataDxfId="9">
  <autoFilter ref="A953:G983"/>
  <tableColumns count="7">
    <tableColumn id="1" name="CLIENTS" dataDxfId="3469"/>
    <tableColumn id="7" name="LOCALISATION" dataDxfId="3468">
      <calculatedColumnFormula>B10</calculatedColumnFormula>
    </tableColumn>
    <tableColumn id="2" name="STADE D'AVANCEMENT" dataDxfId="3467">
      <calculatedColumnFormula>C909</calculatedColumnFormula>
    </tableColumn>
    <tableColumn id="3" name="INTERVENTION À EFFECTUER" dataDxfId="3466"/>
    <tableColumn id="4" name="DATE DEMANDÉE" dataDxfId="3465"/>
    <tableColumn id="5" name="DATE D'INTERVENTION" dataDxfId="3464"/>
    <tableColumn id="6" name="OBSERVATIONS" dataDxfId="3463"/>
  </tableColumns>
  <tableStyleInfo name="TableStyleMedium9" showFirstColumn="0" showLastColumn="0" showRowStripes="1" showColumnStripes="0"/>
</table>
</file>

<file path=xl/tables/table26.xml><?xml version="1.0" encoding="utf-8"?>
<table xmlns="http://schemas.openxmlformats.org/spreadsheetml/2006/main" id="115" name="Tableau81878994959697102111116" displayName="Tableau81878994959697102111116" ref="A998:G1028" totalsRowShown="0" dataDxfId="8">
  <autoFilter ref="A998:G1028"/>
  <tableColumns count="7">
    <tableColumn id="1" name="CLIENTS" dataDxfId="3462"/>
    <tableColumn id="7" name="LOCALISATION" dataDxfId="3461">
      <calculatedColumnFormula>B10</calculatedColumnFormula>
    </tableColumn>
    <tableColumn id="2" name="STADE D'AVANCEMENT" dataDxfId="3460">
      <calculatedColumnFormula>C954</calculatedColumnFormula>
    </tableColumn>
    <tableColumn id="3" name="INTERVENTION À EFFECTUER" dataDxfId="3459"/>
    <tableColumn id="4" name="DATE DEMANDÉE" dataDxfId="3458"/>
    <tableColumn id="5" name="DATE D'INTERVENTION" dataDxfId="3457"/>
    <tableColumn id="6" name="OBSERVATIONS" dataDxfId="3456"/>
  </tableColumns>
  <tableStyleInfo name="TableStyleMedium9" showFirstColumn="0" showLastColumn="0" showRowStripes="1" showColumnStripes="0"/>
</table>
</file>

<file path=xl/tables/table27.xml><?xml version="1.0" encoding="utf-8"?>
<table xmlns="http://schemas.openxmlformats.org/spreadsheetml/2006/main" id="116" name="Tableau81878994959697102111117" displayName="Tableau81878994959697102111117" ref="A1043:G1073" totalsRowShown="0" dataDxfId="7">
  <autoFilter ref="A1043:G1073"/>
  <tableColumns count="7">
    <tableColumn id="1" name="CLIENTS" dataDxfId="3455"/>
    <tableColumn id="7" name="LOCALISATION" dataDxfId="3454">
      <calculatedColumnFormula>B10</calculatedColumnFormula>
    </tableColumn>
    <tableColumn id="2" name="STADE D'AVANCEMENT" dataDxfId="3453">
      <calculatedColumnFormula>C999</calculatedColumnFormula>
    </tableColumn>
    <tableColumn id="3" name="INTERVENTION À EFFECTUER" dataDxfId="3452"/>
    <tableColumn id="4" name="DATE DEMANDÉE" dataDxfId="3451"/>
    <tableColumn id="5" name="DATE D'INTERVENTION" dataDxfId="3450"/>
    <tableColumn id="6" name="OBSERVATIONS" dataDxfId="3449"/>
  </tableColumns>
  <tableStyleInfo name="TableStyleMedium9" showFirstColumn="0" showLastColumn="0" showRowStripes="1" showColumnStripes="0"/>
</table>
</file>

<file path=xl/tables/table28.xml><?xml version="1.0" encoding="utf-8"?>
<table xmlns="http://schemas.openxmlformats.org/spreadsheetml/2006/main" id="117" name="Tableau81878994959697102111117118" displayName="Tableau81878994959697102111117118" ref="A1088:G1118" totalsRowShown="0" dataDxfId="6">
  <autoFilter ref="A1088:G1118"/>
  <tableColumns count="7">
    <tableColumn id="1" name="CLIENTS" dataDxfId="3448"/>
    <tableColumn id="7" name="LOCALISATION" dataDxfId="3447">
      <calculatedColumnFormula>B10</calculatedColumnFormula>
    </tableColumn>
    <tableColumn id="2" name="STADE D'AVANCEMENT" dataDxfId="3446">
      <calculatedColumnFormula>C1044</calculatedColumnFormula>
    </tableColumn>
    <tableColumn id="3" name="INTERVENTION À EFFECTUER" dataDxfId="3445"/>
    <tableColumn id="4" name="DATE DEMANDÉE" dataDxfId="3444"/>
    <tableColumn id="5" name="DATE D'INTERVENTION" dataDxfId="3443"/>
    <tableColumn id="6" name="OBSERVATIONS" dataDxfId="3442"/>
  </tableColumns>
  <tableStyleInfo name="TableStyleMedium9" showFirstColumn="0" showLastColumn="0" showRowStripes="1" showColumnStripes="0"/>
</table>
</file>

<file path=xl/tables/table29.xml><?xml version="1.0" encoding="utf-8"?>
<table xmlns="http://schemas.openxmlformats.org/spreadsheetml/2006/main" id="118" name="Tableau81878994959697102111117119" displayName="Tableau81878994959697102111117119" ref="A1133:G1163" totalsRowShown="0" dataDxfId="5">
  <autoFilter ref="A1133:G1163"/>
  <tableColumns count="7">
    <tableColumn id="1" name="CLIENTS" dataDxfId="3441"/>
    <tableColumn id="7" name="LOCALISATION" dataDxfId="3440">
      <calculatedColumnFormula>B10</calculatedColumnFormula>
    </tableColumn>
    <tableColumn id="2" name="STADE D'AVANCEMENT" dataDxfId="3439">
      <calculatedColumnFormula>C1089</calculatedColumnFormula>
    </tableColumn>
    <tableColumn id="3" name="INTERVENTION À EFFECTUER" dataDxfId="3438"/>
    <tableColumn id="4" name="DATE DEMANDÉE" dataDxfId="3437"/>
    <tableColumn id="5" name="DATE D'INTERVENTION" dataDxfId="3436"/>
    <tableColumn id="6" name="OBSERVATIONS" dataDxfId="3435"/>
  </tableColumns>
  <tableStyleInfo name="TableStyleMedium9" showFirstColumn="0" showLastColumn="0" showRowStripes="1" showColumnStripes="0"/>
</table>
</file>

<file path=xl/tables/table30.xml><?xml version="1.0" encoding="utf-8"?>
<table xmlns="http://schemas.openxmlformats.org/spreadsheetml/2006/main" id="119" name="Tableau81878994959697102111117120" displayName="Tableau81878994959697102111117120" ref="A1178:G1208" totalsRowShown="0" dataDxfId="4">
  <autoFilter ref="A1178:G1208"/>
  <tableColumns count="7">
    <tableColumn id="1" name="CLIENTS" dataDxfId="3434"/>
    <tableColumn id="7" name="LOCALISATION" dataDxfId="3433">
      <calculatedColumnFormula>B10</calculatedColumnFormula>
    </tableColumn>
    <tableColumn id="2" name="STADE D'AVANCEMENT" dataDxfId="3432">
      <calculatedColumnFormula>C1134</calculatedColumnFormula>
    </tableColumn>
    <tableColumn id="3" name="INTERVENTION À EFFECTUER" dataDxfId="3431"/>
    <tableColumn id="4" name="DATE DEMANDÉE" dataDxfId="3430"/>
    <tableColumn id="5" name="DATE D'INTERVENTION" dataDxfId="3429"/>
    <tableColumn id="6" name="OBSERVATIONS" dataDxfId="3428"/>
  </tableColumns>
  <tableStyleInfo name="TableStyleMedium9" showFirstColumn="0" showLastColumn="0" showRowStripes="1" showColumnStripes="0"/>
</table>
</file>

<file path=xl/tables/table31.xml><?xml version="1.0" encoding="utf-8"?>
<table xmlns="http://schemas.openxmlformats.org/spreadsheetml/2006/main" id="120" name="Tableau81878994959697102111117121" displayName="Tableau81878994959697102111117121" ref="A1223:G1253" totalsRowShown="0" dataDxfId="3">
  <autoFilter ref="A1223:G1253"/>
  <tableColumns count="7">
    <tableColumn id="1" name="CLIENTS" dataDxfId="3427"/>
    <tableColumn id="7" name="LOCALISATION" dataDxfId="3426">
      <calculatedColumnFormula>B10</calculatedColumnFormula>
    </tableColumn>
    <tableColumn id="2" name="STADE D'AVANCEMENT" dataDxfId="3425">
      <calculatedColumnFormula>C1179</calculatedColumnFormula>
    </tableColumn>
    <tableColumn id="3" name="INTERVENTION À EFFECTUER" dataDxfId="3424"/>
    <tableColumn id="4" name="DATE DEMANDÉE" dataDxfId="3423"/>
    <tableColumn id="5" name="DATE D'INTERVENTION" dataDxfId="3422"/>
    <tableColumn id="6" name="OBSERVATIONS" dataDxfId="3421"/>
  </tableColumns>
  <tableStyleInfo name="TableStyleMedium9" showFirstColumn="0" showLastColumn="0" showRowStripes="1" showColumnStripes="0"/>
</table>
</file>

<file path=xl/tables/table32.xml><?xml version="1.0" encoding="utf-8"?>
<table xmlns="http://schemas.openxmlformats.org/spreadsheetml/2006/main" id="121" name="Tableau81878994959697102111117122" displayName="Tableau81878994959697102111117122" ref="A1268:G1298" totalsRowShown="0" dataDxfId="2">
  <autoFilter ref="A1268:G1298"/>
  <tableColumns count="7">
    <tableColumn id="1" name="CLIENTS" dataDxfId="3420"/>
    <tableColumn id="7" name="LOCALISATION" dataDxfId="3419">
      <calculatedColumnFormula>B10</calculatedColumnFormula>
    </tableColumn>
    <tableColumn id="2" name="STADE D'AVANCEMENT" dataDxfId="3418">
      <calculatedColumnFormula>C1224</calculatedColumnFormula>
    </tableColumn>
    <tableColumn id="3" name="INTERVENTION À EFFECTUER" dataDxfId="3417"/>
    <tableColumn id="4" name="DATE DEMANDÉE" dataDxfId="3416"/>
    <tableColumn id="5" name="DATE D'INTERVENTION" dataDxfId="3415"/>
    <tableColumn id="6" name="OBSERVATIONS" dataDxfId="3414"/>
  </tableColumns>
  <tableStyleInfo name="TableStyleMedium9" showFirstColumn="0" showLastColumn="0" showRowStripes="1" showColumnStripes="0"/>
</table>
</file>

<file path=xl/tables/table33.xml><?xml version="1.0" encoding="utf-8"?>
<table xmlns="http://schemas.openxmlformats.org/spreadsheetml/2006/main" id="77" name="Tableau8178" displayName="Tableau8178" ref="A54:G84" totalsRowShown="0" dataDxfId="28">
  <autoFilter ref="A54:G84"/>
  <tableColumns count="7">
    <tableColumn id="1" name="CLIENTS" dataDxfId="3413"/>
    <tableColumn id="7" name="LOCALISATION" dataDxfId="3412">
      <calculatedColumnFormula>B10</calculatedColumnFormula>
    </tableColumn>
    <tableColumn id="2" name="STADE D'AVANCEMENT" dataDxfId="3411">
      <calculatedColumnFormula>C10</calculatedColumnFormula>
    </tableColumn>
    <tableColumn id="3" name="INTERVENTION À EFFECTUER" dataDxfId="3410"/>
    <tableColumn id="4" name="DATE DEMANDÉE" dataDxfId="3409"/>
    <tableColumn id="5" name="DATE D'INTERVENTION" dataDxfId="3408"/>
    <tableColumn id="6" name="OBSERVATIONS" dataDxfId="3407"/>
  </tableColumns>
  <tableStyleInfo name="TableStyleMedium9" showFirstColumn="0" showLastColumn="0" showRowStripes="1" showColumnStripes="0"/>
</table>
</file>

<file path=xl/tables/table34.xml><?xml version="1.0" encoding="utf-8"?>
<table xmlns="http://schemas.openxmlformats.org/spreadsheetml/2006/main" id="34" name="Tableau8187899495969710211111712235" displayName="Tableau8187899495969710211111712235" ref="A1313:G1343" totalsRowShown="0" dataDxfId="1">
  <autoFilter ref="A1313:G1343"/>
  <tableColumns count="7">
    <tableColumn id="1" name="CLIENTS" dataDxfId="3406"/>
    <tableColumn id="7" name="LOCALISATION" dataDxfId="3405">
      <calculatedColumnFormula>B10</calculatedColumnFormula>
    </tableColumn>
    <tableColumn id="2" name="STADE D'AVANCEMENT" dataDxfId="3404">
      <calculatedColumnFormula>C10</calculatedColumnFormula>
    </tableColumn>
    <tableColumn id="3" name="INTERVENTION À EFFECTUER" dataDxfId="3403"/>
    <tableColumn id="4" name="DATE DEMANDÉE" dataDxfId="3402"/>
    <tableColumn id="5" name="DATE D'INTERVENTION" dataDxfId="3401"/>
    <tableColumn id="6" name="OBSERVATIONS" dataDxfId="3400"/>
  </tableColumns>
  <tableStyleInfo name="TableStyleMedium9" showFirstColumn="0" showLastColumn="0" showRowStripes="1" showColumnStripes="0"/>
</table>
</file>

<file path=xl/tables/table35.xml><?xml version="1.0" encoding="utf-8"?>
<table xmlns="http://schemas.openxmlformats.org/spreadsheetml/2006/main" id="144" name="Tableau8187899495969710211111712235145" displayName="Tableau8187899495969710211111712235145" ref="A1358:G1388" totalsRowShown="0" dataDxfId="0">
  <autoFilter ref="A1358:G1388"/>
  <tableColumns count="7">
    <tableColumn id="1" name="CLIENTS" dataDxfId="36"/>
    <tableColumn id="7" name="LOCALISATION" dataDxfId="35">
      <calculatedColumnFormula>B55</calculatedColumnFormula>
    </tableColumn>
    <tableColumn id="2" name="STADE D'AVANCEMENT" dataDxfId="34">
      <calculatedColumnFormula>C55</calculatedColumnFormula>
    </tableColumn>
    <tableColumn id="3" name="INTERVENTION À EFFECTUER" dataDxfId="33"/>
    <tableColumn id="4" name="DATE DEMANDÉE" dataDxfId="32"/>
    <tableColumn id="5" name="DATE D'INTERVENTION" dataDxfId="31"/>
    <tableColumn id="6" name="OBSERVATIONS" dataDxfId="30"/>
  </tableColumns>
  <tableStyleInfo name="TableStyleMedium9" showFirstColumn="0" showLastColumn="0" showRowStripes="1" showColumnStripes="0"/>
</table>
</file>

<file path=xl/tables/table36.xml><?xml version="1.0" encoding="utf-8"?>
<table xmlns="http://schemas.openxmlformats.org/spreadsheetml/2006/main" id="5" name="Tableau27066" displayName="Tableau27066" ref="C7:H25" totalsRowShown="0" headerRowDxfId="3329" dataDxfId="3327" headerRowBorderDxfId="3328" tableBorderDxfId="3326" totalsRowBorderDxfId="3325">
  <tableColumns count="6">
    <tableColumn id="1" name="Type d'intervention" dataDxfId="3324"/>
    <tableColumn id="2" name="Entreprise" dataDxfId="3323"/>
    <tableColumn id="12" name="S" dataDxfId="3322"/>
    <tableColumn id="3" name="   Date" dataDxfId="3321"/>
    <tableColumn id="5" name="Avancement" dataDxfId="3320"/>
    <tableColumn id="4" name="Commentaires" dataDxfId="3319"/>
  </tableColumns>
  <tableStyleInfo name="TableStyleLight1" showFirstColumn="0" showLastColumn="0" showRowStripes="1" showColumnStripes="0"/>
</table>
</file>

<file path=xl/tables/table37.xml><?xml version="1.0" encoding="utf-8"?>
<table xmlns="http://schemas.openxmlformats.org/spreadsheetml/2006/main" id="6" name="Tableau47077" displayName="Tableau47077" ref="C28:H44" totalsRowShown="0" headerRowDxfId="3318" dataDxfId="3316" headerRowBorderDxfId="3317" tableBorderDxfId="3315" totalsRowBorderDxfId="3314">
  <tableColumns count="6">
    <tableColumn id="1" name="Type d'intervention" dataDxfId="3313"/>
    <tableColumn id="2" name="Entreprise" dataDxfId="3312"/>
    <tableColumn id="6" name="S" dataDxfId="3311">
      <calculatedColumnFormula>IF(E24="","",MOD(E24+1,52))</calculatedColumnFormula>
    </tableColumn>
    <tableColumn id="3" name="Date" dataDxfId="3310"/>
    <tableColumn id="4" name="Avancement" dataDxfId="3309"/>
    <tableColumn id="5" name="Commentaires" dataDxfId="3308"/>
  </tableColumns>
  <tableStyleInfo name="TableStyleLight1" showFirstColumn="0" showLastColumn="0" showRowStripes="1" showColumnStripes="0"/>
</table>
</file>

<file path=xl/tables/table38.xml><?xml version="1.0" encoding="utf-8"?>
<table xmlns="http://schemas.openxmlformats.org/spreadsheetml/2006/main" id="7" name="Tableau57088" displayName="Tableau57088" ref="C47:H51" totalsRowShown="0" headerRowDxfId="3307" dataDxfId="3305" headerRowBorderDxfId="3306" tableBorderDxfId="3304" totalsRowBorderDxfId="3303">
  <tableColumns count="6">
    <tableColumn id="1" name="Type d'intervention" dataDxfId="3302"/>
    <tableColumn id="2" name="Entreprise" dataDxfId="3301">
      <calculatedColumnFormula>D10</calculatedColumnFormula>
    </tableColumn>
    <tableColumn id="6" name=" " dataDxfId="3300">
      <calculatedColumnFormula>IF(E30="","",MOD(E30+1,52))</calculatedColumnFormula>
    </tableColumn>
    <tableColumn id="3" name="Date" dataDxfId="3299"/>
    <tableColumn id="4" name="Avancement" dataDxfId="3298"/>
    <tableColumn id="5" name="Commentaires" dataDxfId="3297"/>
  </tableColumns>
  <tableStyleInfo name="TableStyleLight1" showFirstColumn="0" showLastColumn="0" showRowStripes="1" showColumnStripes="0"/>
</table>
</file>

<file path=xl/tables/table39.xml><?xml version="1.0" encoding="utf-8"?>
<table xmlns="http://schemas.openxmlformats.org/spreadsheetml/2006/main" id="8" name="Tableau257129" displayName="Tableau257129" ref="C54:F58" totalsRowShown="0" headerRowDxfId="3296" dataDxfId="3294" headerRowBorderDxfId="3295" tableBorderDxfId="3293" totalsRowBorderDxfId="3292">
  <tableColumns count="4">
    <tableColumn id="1" name="réunion" dataDxfId="3291"/>
    <tableColumn id="2" name="date" dataDxfId="3290"/>
    <tableColumn id="4" name=" " dataDxfId="3289"/>
    <tableColumn id="3" name="état" dataDxfId="3288"/>
  </tableColumns>
  <tableStyleInfo name="TableStyleLight1" showFirstColumn="0" showLastColumn="0" showRowStripes="1" showColumnStripes="0"/>
</table>
</file>

<file path=xl/tables/table40.xml><?xml version="1.0" encoding="utf-8"?>
<table xmlns="http://schemas.openxmlformats.org/spreadsheetml/2006/main" id="41" name="Tableau270642" displayName="Tableau270642" ref="C7:H25" totalsRowShown="0" headerRowDxfId="3217" dataDxfId="3215" headerRowBorderDxfId="3216" tableBorderDxfId="3214" totalsRowBorderDxfId="3213">
  <tableColumns count="6">
    <tableColumn id="1" name="Type d'intervention" dataDxfId="3212"/>
    <tableColumn id="2" name="Entreprise" dataDxfId="3211"/>
    <tableColumn id="12" name="41" dataDxfId="3210"/>
    <tableColumn id="3" name="   Date" dataDxfId="3209"/>
    <tableColumn id="5" name="Avancement" dataDxfId="3208"/>
    <tableColumn id="4" name="Commentaires" dataDxfId="3207"/>
  </tableColumns>
  <tableStyleInfo name="TableStyleLight1" showFirstColumn="0" showLastColumn="0" showRowStripes="1" showColumnStripes="0"/>
</table>
</file>

<file path=xl/tables/table41.xml><?xml version="1.0" encoding="utf-8"?>
<table xmlns="http://schemas.openxmlformats.org/spreadsheetml/2006/main" id="42" name="Tableau470743" displayName="Tableau470743" ref="C28:H44" totalsRowShown="0" headerRowDxfId="3206" dataDxfId="3204" headerRowBorderDxfId="3205" tableBorderDxfId="3203" totalsRowBorderDxfId="3202">
  <tableColumns count="6">
    <tableColumn id="1" name="Type d'intervention" dataDxfId="3201"/>
    <tableColumn id="2" name="Entreprise" dataDxfId="3200"/>
    <tableColumn id="6" name="S" dataDxfId="3199">
      <calculatedColumnFormula>IF(E24="","",MOD(E24+1,52))</calculatedColumnFormula>
    </tableColumn>
    <tableColumn id="3" name="Date" dataDxfId="3198"/>
    <tableColumn id="4" name="Avancement" dataDxfId="3197"/>
    <tableColumn id="5" name="Commentaires" dataDxfId="3196"/>
  </tableColumns>
  <tableStyleInfo name="TableStyleLight1" showFirstColumn="0" showLastColumn="0" showRowStripes="1" showColumnStripes="0"/>
</table>
</file>

<file path=xl/tables/table42.xml><?xml version="1.0" encoding="utf-8"?>
<table xmlns="http://schemas.openxmlformats.org/spreadsheetml/2006/main" id="43" name="Tableau570844" displayName="Tableau570844" ref="C47:H51" totalsRowShown="0" headerRowDxfId="3195" dataDxfId="3193" headerRowBorderDxfId="3194" tableBorderDxfId="3192" totalsRowBorderDxfId="3191">
  <tableColumns count="6">
    <tableColumn id="1" name="Type d'intervention" dataDxfId="3190"/>
    <tableColumn id="2" name="Entreprise" dataDxfId="3189">
      <calculatedColumnFormula>D10</calculatedColumnFormula>
    </tableColumn>
    <tableColumn id="6" name=" " dataDxfId="3188">
      <calculatedColumnFormula>IF(E30="","",MOD(E30+1,52))</calculatedColumnFormula>
    </tableColumn>
    <tableColumn id="3" name="Date" dataDxfId="3187"/>
    <tableColumn id="4" name="Avancement" dataDxfId="3186"/>
    <tableColumn id="5" name="Commentaires" dataDxfId="3185"/>
  </tableColumns>
  <tableStyleInfo name="TableStyleLight1" showFirstColumn="0" showLastColumn="0" showRowStripes="1" showColumnStripes="0"/>
</table>
</file>

<file path=xl/tables/table43.xml><?xml version="1.0" encoding="utf-8"?>
<table xmlns="http://schemas.openxmlformats.org/spreadsheetml/2006/main" id="44" name="Tableau2571245" displayName="Tableau2571245" ref="C54:F58" totalsRowShown="0" headerRowDxfId="3184" dataDxfId="3182" headerRowBorderDxfId="3183" tableBorderDxfId="3181" totalsRowBorderDxfId="3180">
  <tableColumns count="4">
    <tableColumn id="1" name="réunion" dataDxfId="3179"/>
    <tableColumn id="2" name="date" dataDxfId="3178"/>
    <tableColumn id="4" name=" " dataDxfId="3177"/>
    <tableColumn id="3" name="état" dataDxfId="3176"/>
  </tableColumns>
  <tableStyleInfo name="TableStyleLight1" showFirstColumn="0" showLastColumn="0" showRowStripes="1" showColumnStripes="0"/>
</table>
</file>

<file path=xl/tables/table44.xml><?xml version="1.0" encoding="utf-8"?>
<table xmlns="http://schemas.openxmlformats.org/spreadsheetml/2006/main" id="65" name="Tableau270666" displayName="Tableau270666" ref="C7:H25" totalsRowShown="0" headerRowDxfId="3105" dataDxfId="3103" headerRowBorderDxfId="3104" tableBorderDxfId="3102" totalsRowBorderDxfId="3101">
  <tableColumns count="6">
    <tableColumn id="1" name="Type d'intervention" dataDxfId="3100"/>
    <tableColumn id="2" name="Entreprise" dataDxfId="3099"/>
    <tableColumn id="12" name="S" dataDxfId="3098"/>
    <tableColumn id="3" name="   Date" dataDxfId="3097"/>
    <tableColumn id="5" name="Avancement" dataDxfId="3096"/>
    <tableColumn id="4" name="Commentaires" dataDxfId="3095"/>
  </tableColumns>
  <tableStyleInfo name="TableStyleLight1" showFirstColumn="0" showLastColumn="0" showRowStripes="1" showColumnStripes="0"/>
</table>
</file>

<file path=xl/tables/table45.xml><?xml version="1.0" encoding="utf-8"?>
<table xmlns="http://schemas.openxmlformats.org/spreadsheetml/2006/main" id="66" name="Tableau470767" displayName="Tableau470767" ref="C28:H44" totalsRowShown="0" headerRowDxfId="3094" dataDxfId="3092" headerRowBorderDxfId="3093" tableBorderDxfId="3091" totalsRowBorderDxfId="3090">
  <tableColumns count="6">
    <tableColumn id="1" name="Type d'intervention" dataDxfId="3089"/>
    <tableColumn id="2" name="Entreprise" dataDxfId="3088"/>
    <tableColumn id="6" name="S" dataDxfId="3087">
      <calculatedColumnFormula>IF(E24="","",MOD(E24+1,52))</calculatedColumnFormula>
    </tableColumn>
    <tableColumn id="3" name="Date" dataDxfId="3086"/>
    <tableColumn id="4" name="Avancement" dataDxfId="3085"/>
    <tableColumn id="5" name="Commentaires" dataDxfId="3084"/>
  </tableColumns>
  <tableStyleInfo name="TableStyleLight1" showFirstColumn="0" showLastColumn="0" showRowStripes="1" showColumnStripes="0"/>
</table>
</file>

<file path=xl/tables/table46.xml><?xml version="1.0" encoding="utf-8"?>
<table xmlns="http://schemas.openxmlformats.org/spreadsheetml/2006/main" id="67" name="Tableau570868" displayName="Tableau570868" ref="C47:H51" totalsRowShown="0" headerRowDxfId="3083" dataDxfId="3081" headerRowBorderDxfId="3082" tableBorderDxfId="3080" totalsRowBorderDxfId="3079">
  <tableColumns count="6">
    <tableColumn id="1" name="Type d'intervention" dataDxfId="3078"/>
    <tableColumn id="2" name="Entreprise" dataDxfId="3077">
      <calculatedColumnFormula>D10</calculatedColumnFormula>
    </tableColumn>
    <tableColumn id="6" name=" " dataDxfId="3076">
      <calculatedColumnFormula>IF(E30="","",MOD(E30+1,52))</calculatedColumnFormula>
    </tableColumn>
    <tableColumn id="3" name="Date" dataDxfId="3075"/>
    <tableColumn id="4" name="Avancement" dataDxfId="3074"/>
    <tableColumn id="5" name="Commentaires" dataDxfId="3073"/>
  </tableColumns>
  <tableStyleInfo name="TableStyleLight1" showFirstColumn="0" showLastColumn="0" showRowStripes="1" showColumnStripes="0"/>
</table>
</file>

<file path=xl/tables/table47.xml><?xml version="1.0" encoding="utf-8"?>
<table xmlns="http://schemas.openxmlformats.org/spreadsheetml/2006/main" id="68" name="Tableau2571269" displayName="Tableau2571269" ref="C54:F58" totalsRowShown="0" headerRowDxfId="3072" dataDxfId="3070" headerRowBorderDxfId="3071" tableBorderDxfId="3069" totalsRowBorderDxfId="3068">
  <tableColumns count="4">
    <tableColumn id="1" name="réunion" dataDxfId="3067"/>
    <tableColumn id="2" name="date" dataDxfId="3066"/>
    <tableColumn id="4" name=" " dataDxfId="3065"/>
    <tableColumn id="3" name="état" dataDxfId="3064"/>
  </tableColumns>
  <tableStyleInfo name="TableStyleLight1" showFirstColumn="0" showLastColumn="0" showRowStripes="1" showColumnStripes="0"/>
</table>
</file>

<file path=xl/tables/table48.xml><?xml version="1.0" encoding="utf-8"?>
<table xmlns="http://schemas.openxmlformats.org/spreadsheetml/2006/main" id="49" name="Tableau270650" displayName="Tableau270650" ref="C7:H25" totalsRowShown="0" headerRowDxfId="2993" dataDxfId="2991" headerRowBorderDxfId="2992" tableBorderDxfId="2990" totalsRowBorderDxfId="2989">
  <tableColumns count="6">
    <tableColumn id="1" name="Type d'intervention" dataDxfId="2988"/>
    <tableColumn id="2" name="Entreprise" dataDxfId="2987"/>
    <tableColumn id="12" name="S" dataDxfId="2986"/>
    <tableColumn id="3" name="   Date" dataDxfId="2985"/>
    <tableColumn id="5" name="Avancement" dataDxfId="2984"/>
    <tableColumn id="4" name="Commentaires" dataDxfId="2983"/>
  </tableColumns>
  <tableStyleInfo name="TableStyleLight1" showFirstColumn="0" showLastColumn="0" showRowStripes="1" showColumnStripes="0"/>
</table>
</file>

<file path=xl/tables/table49.xml><?xml version="1.0" encoding="utf-8"?>
<table xmlns="http://schemas.openxmlformats.org/spreadsheetml/2006/main" id="50" name="Tableau470751" displayName="Tableau470751" ref="C28:H44" totalsRowShown="0" headerRowDxfId="2982" dataDxfId="2980" headerRowBorderDxfId="2981" tableBorderDxfId="2979" totalsRowBorderDxfId="2978">
  <tableColumns count="6">
    <tableColumn id="1" name="Type d'intervention" dataDxfId="2977"/>
    <tableColumn id="2" name="Entreprise" dataDxfId="2976"/>
    <tableColumn id="6" name="S" dataDxfId="2975">
      <calculatedColumnFormula>IF(E24="","",MOD(E24+1,52))</calculatedColumnFormula>
    </tableColumn>
    <tableColumn id="3" name="Date" dataDxfId="2974"/>
    <tableColumn id="4" name="Avancement" dataDxfId="2973"/>
    <tableColumn id="5" name="Commentaires" dataDxfId="2972"/>
  </tableColumns>
  <tableStyleInfo name="TableStyleLight1" showFirstColumn="0" showLastColumn="0" showRowStripes="1" showColumnStripes="0"/>
</table>
</file>

<file path=xl/tables/table50.xml><?xml version="1.0" encoding="utf-8"?>
<table xmlns="http://schemas.openxmlformats.org/spreadsheetml/2006/main" id="51" name="Tableau570852" displayName="Tableau570852" ref="C47:H51" totalsRowShown="0" headerRowDxfId="2971" dataDxfId="2969" headerRowBorderDxfId="2970" tableBorderDxfId="2968" totalsRowBorderDxfId="2967">
  <tableColumns count="6">
    <tableColumn id="1" name="Type d'intervention" dataDxfId="2966"/>
    <tableColumn id="2" name="Entreprise" dataDxfId="2965">
      <calculatedColumnFormula>D10</calculatedColumnFormula>
    </tableColumn>
    <tableColumn id="6" name=" " dataDxfId="2964">
      <calculatedColumnFormula>IF(E30="","",MOD(E30+1,52))</calculatedColumnFormula>
    </tableColumn>
    <tableColumn id="3" name="Date" dataDxfId="2963"/>
    <tableColumn id="4" name="Avancement" dataDxfId="2962"/>
    <tableColumn id="5" name="Commentaires" dataDxfId="2961"/>
  </tableColumns>
  <tableStyleInfo name="TableStyleLight1" showFirstColumn="0" showLastColumn="0" showRowStripes="1" showColumnStripes="0"/>
</table>
</file>

<file path=xl/tables/table51.xml><?xml version="1.0" encoding="utf-8"?>
<table xmlns="http://schemas.openxmlformats.org/spreadsheetml/2006/main" id="52" name="Tableau2571253" displayName="Tableau2571253" ref="C54:F58" totalsRowShown="0" headerRowDxfId="2960" dataDxfId="2958" headerRowBorderDxfId="2959" tableBorderDxfId="2957" totalsRowBorderDxfId="2956">
  <tableColumns count="4">
    <tableColumn id="1" name="réunion" dataDxfId="2955"/>
    <tableColumn id="2" name="date" dataDxfId="2954"/>
    <tableColumn id="4" name=" " dataDxfId="2953"/>
    <tableColumn id="3" name="état" dataDxfId="2952"/>
  </tableColumns>
  <tableStyleInfo name="TableStyleLight1" showFirstColumn="0" showLastColumn="0" showRowStripes="1" showColumnStripes="0"/>
</table>
</file>

<file path=xl/tables/table52.xml><?xml version="1.0" encoding="utf-8"?>
<table xmlns="http://schemas.openxmlformats.org/spreadsheetml/2006/main" id="150" name="Tableau2706151" displayName="Tableau2706151" ref="C7:H25" totalsRowShown="0" headerRowDxfId="2881" dataDxfId="2879" headerRowBorderDxfId="2880" tableBorderDxfId="2878" totalsRowBorderDxfId="2877">
  <tableColumns count="6">
    <tableColumn id="1" name="Type d'intervention" dataDxfId="2876"/>
    <tableColumn id="2" name="Entreprise" dataDxfId="2875"/>
    <tableColumn id="12" name="S" dataDxfId="2874"/>
    <tableColumn id="3" name="   Date" dataDxfId="2873"/>
    <tableColumn id="5" name="Avancement" dataDxfId="2872"/>
    <tableColumn id="4" name="Commentaires" dataDxfId="2871"/>
  </tableColumns>
  <tableStyleInfo name="TableStyleLight1" showFirstColumn="0" showLastColumn="0" showRowStripes="1" showColumnStripes="0"/>
</table>
</file>

<file path=xl/tables/table53.xml><?xml version="1.0" encoding="utf-8"?>
<table xmlns="http://schemas.openxmlformats.org/spreadsheetml/2006/main" id="151" name="Tableau4707152" displayName="Tableau4707152" ref="C28:H44" totalsRowShown="0" headerRowDxfId="2870" dataDxfId="2868" headerRowBorderDxfId="2869" tableBorderDxfId="2867" totalsRowBorderDxfId="2866">
  <tableColumns count="6">
    <tableColumn id="1" name="Type d'intervention" dataDxfId="2865"/>
    <tableColumn id="2" name="Entreprise" dataDxfId="2864"/>
    <tableColumn id="6" name="S" dataDxfId="2863">
      <calculatedColumnFormula>IF(E24="","",MOD(E24+1,52))</calculatedColumnFormula>
    </tableColumn>
    <tableColumn id="3" name="Date" dataDxfId="2862"/>
    <tableColumn id="4" name="Avancement" dataDxfId="2861"/>
    <tableColumn id="5" name="Commentaires" dataDxfId="2860"/>
  </tableColumns>
  <tableStyleInfo name="TableStyleLight1" showFirstColumn="0" showLastColumn="0" showRowStripes="1" showColumnStripes="0"/>
</table>
</file>

<file path=xl/tables/table54.xml><?xml version="1.0" encoding="utf-8"?>
<table xmlns="http://schemas.openxmlformats.org/spreadsheetml/2006/main" id="152" name="Tableau5708153" displayName="Tableau5708153" ref="C47:H51" totalsRowShown="0" headerRowDxfId="2859" dataDxfId="2857" headerRowBorderDxfId="2858" tableBorderDxfId="2856" totalsRowBorderDxfId="2855">
  <tableColumns count="6">
    <tableColumn id="1" name="Type d'intervention" dataDxfId="2854"/>
    <tableColumn id="2" name="Entreprise" dataDxfId="2853">
      <calculatedColumnFormula>D10</calculatedColumnFormula>
    </tableColumn>
    <tableColumn id="6" name=" " dataDxfId="2852">
      <calculatedColumnFormula>IF(E30="","",MOD(E30+1,52))</calculatedColumnFormula>
    </tableColumn>
    <tableColumn id="3" name="Date" dataDxfId="2851"/>
    <tableColumn id="4" name="Avancement" dataDxfId="2850"/>
    <tableColumn id="5" name="Commentaires" dataDxfId="2849"/>
  </tableColumns>
  <tableStyleInfo name="TableStyleLight1" showFirstColumn="0" showLastColumn="0" showRowStripes="1" showColumnStripes="0"/>
</table>
</file>

<file path=xl/tables/table55.xml><?xml version="1.0" encoding="utf-8"?>
<table xmlns="http://schemas.openxmlformats.org/spreadsheetml/2006/main" id="153" name="Tableau25712154" displayName="Tableau25712154" ref="C54:F58" totalsRowShown="0" headerRowDxfId="2848" dataDxfId="2846" headerRowBorderDxfId="2847" tableBorderDxfId="2845" totalsRowBorderDxfId="2844">
  <tableColumns count="4">
    <tableColumn id="1" name="réunion" dataDxfId="2843"/>
    <tableColumn id="2" name="date" dataDxfId="2842"/>
    <tableColumn id="4" name=" " dataDxfId="2841"/>
    <tableColumn id="3" name="état" dataDxfId="2840"/>
  </tableColumns>
  <tableStyleInfo name="TableStyleLight1" showFirstColumn="0" showLastColumn="0" showRowStripes="1" showColumnStripes="0"/>
</table>
</file>

<file path=xl/tables/table56.xml><?xml version="1.0" encoding="utf-8"?>
<table xmlns="http://schemas.openxmlformats.org/spreadsheetml/2006/main" id="9" name="Tableau270610" displayName="Tableau270610" ref="C7:H25" totalsRowShown="0" headerRowDxfId="2769" dataDxfId="2767" headerRowBorderDxfId="2768" tableBorderDxfId="2766" totalsRowBorderDxfId="2765">
  <tableColumns count="6">
    <tableColumn id="1" name="Type d'intervention" dataDxfId="2764"/>
    <tableColumn id="2" name="Entreprise" dataDxfId="2763"/>
    <tableColumn id="12" name="S" dataDxfId="2762"/>
    <tableColumn id="3" name="   Date" dataDxfId="2761"/>
    <tableColumn id="5" name="Avancement" dataDxfId="2760"/>
    <tableColumn id="4" name="Commentaires" dataDxfId="2759"/>
  </tableColumns>
  <tableStyleInfo name="TableStyleLight1" showFirstColumn="0" showLastColumn="0" showRowStripes="1" showColumnStripes="0"/>
</table>
</file>

<file path=xl/tables/table57.xml><?xml version="1.0" encoding="utf-8"?>
<table xmlns="http://schemas.openxmlformats.org/spreadsheetml/2006/main" id="10" name="Tableau470711" displayName="Tableau470711" ref="C28:H44" totalsRowShown="0" headerRowDxfId="2758" dataDxfId="2756" headerRowBorderDxfId="2757" tableBorderDxfId="2755" totalsRowBorderDxfId="2754">
  <tableColumns count="6">
    <tableColumn id="1" name="Type d'intervention" dataDxfId="2753"/>
    <tableColumn id="2" name="Entreprise" dataDxfId="2752"/>
    <tableColumn id="6" name="S" dataDxfId="2751">
      <calculatedColumnFormula>IF(E24="","",MOD(E24+1,52))</calculatedColumnFormula>
    </tableColumn>
    <tableColumn id="3" name="Date" dataDxfId="2750"/>
    <tableColumn id="4" name="Avancement" dataDxfId="2749"/>
    <tableColumn id="5" name="Commentaires" dataDxfId="2748"/>
  </tableColumns>
  <tableStyleInfo name="TableStyleLight1" showFirstColumn="0" showLastColumn="0" showRowStripes="1" showColumnStripes="0"/>
</table>
</file>

<file path=xl/tables/table58.xml><?xml version="1.0" encoding="utf-8"?>
<table xmlns="http://schemas.openxmlformats.org/spreadsheetml/2006/main" id="11" name="Tableau570812" displayName="Tableau570812" ref="C47:H51" totalsRowShown="0" headerRowDxfId="2747" dataDxfId="2745" headerRowBorderDxfId="2746" tableBorderDxfId="2744" totalsRowBorderDxfId="2743">
  <tableColumns count="6">
    <tableColumn id="1" name="Type d'intervention" dataDxfId="2742"/>
    <tableColumn id="2" name="Entreprise" dataDxfId="2741">
      <calculatedColumnFormula>D10</calculatedColumnFormula>
    </tableColumn>
    <tableColumn id="6" name=" " dataDxfId="2740">
      <calculatedColumnFormula>IF(E30="","",MOD(E30+1,52))</calculatedColumnFormula>
    </tableColumn>
    <tableColumn id="3" name="Date" dataDxfId="2739"/>
    <tableColumn id="4" name="Avancement" dataDxfId="2738"/>
    <tableColumn id="5" name="Commentaires" dataDxfId="2737"/>
  </tableColumns>
  <tableStyleInfo name="TableStyleLight1" showFirstColumn="0" showLastColumn="0" showRowStripes="1" showColumnStripes="0"/>
</table>
</file>

<file path=xl/tables/table59.xml><?xml version="1.0" encoding="utf-8"?>
<table xmlns="http://schemas.openxmlformats.org/spreadsheetml/2006/main" id="12" name="Tableau2571213" displayName="Tableau2571213" ref="C54:F58" totalsRowShown="0" headerRowDxfId="2736" dataDxfId="2734" headerRowBorderDxfId="2735" tableBorderDxfId="2733" totalsRowBorderDxfId="2732">
  <tableColumns count="4">
    <tableColumn id="1" name="réunion" dataDxfId="2731"/>
    <tableColumn id="2" name="date" dataDxfId="2730"/>
    <tableColumn id="4" name=" " dataDxfId="2729"/>
    <tableColumn id="3" name="état" dataDxfId="2728"/>
  </tableColumns>
  <tableStyleInfo name="TableStyleLight1" showFirstColumn="0" showLastColumn="0" showRowStripes="1" showColumnStripes="0"/>
</table>
</file>

<file path=xl/tables/table60.xml><?xml version="1.0" encoding="utf-8"?>
<table xmlns="http://schemas.openxmlformats.org/spreadsheetml/2006/main" id="17" name="Tableau270618" displayName="Tableau270618" ref="C7:H25" totalsRowShown="0" headerRowDxfId="2657" dataDxfId="2655" headerRowBorderDxfId="2656" tableBorderDxfId="2654" totalsRowBorderDxfId="2653">
  <tableColumns count="6">
    <tableColumn id="1" name="Type d'intervention" dataDxfId="2652"/>
    <tableColumn id="2" name="Entreprise" dataDxfId="2651"/>
    <tableColumn id="12" name="S" dataDxfId="2650"/>
    <tableColumn id="3" name="   Date" dataDxfId="2649"/>
    <tableColumn id="5" name="Avancement" dataDxfId="2648"/>
    <tableColumn id="4" name="Commentaires" dataDxfId="2647"/>
  </tableColumns>
  <tableStyleInfo name="TableStyleLight1" showFirstColumn="0" showLastColumn="0" showRowStripes="1" showColumnStripes="0"/>
</table>
</file>

<file path=xl/tables/table61.xml><?xml version="1.0" encoding="utf-8"?>
<table xmlns="http://schemas.openxmlformats.org/spreadsheetml/2006/main" id="18" name="Tableau470719" displayName="Tableau470719" ref="C28:H44" totalsRowShown="0" headerRowDxfId="2646" dataDxfId="2644" headerRowBorderDxfId="2645" tableBorderDxfId="2643" totalsRowBorderDxfId="2642">
  <tableColumns count="6">
    <tableColumn id="1" name="Type d'intervention" dataDxfId="2641"/>
    <tableColumn id="2" name="Entreprise" dataDxfId="2640"/>
    <tableColumn id="6" name="S" dataDxfId="2639">
      <calculatedColumnFormula>IF(E24="","",MOD(E24+1,52))</calculatedColumnFormula>
    </tableColumn>
    <tableColumn id="3" name="Date" dataDxfId="2638"/>
    <tableColumn id="4" name="Avancement" dataDxfId="2637"/>
    <tableColumn id="5" name="Commentaires" dataDxfId="2636"/>
  </tableColumns>
  <tableStyleInfo name="TableStyleLight1" showFirstColumn="0" showLastColumn="0" showRowStripes="1" showColumnStripes="0"/>
</table>
</file>

<file path=xl/tables/table62.xml><?xml version="1.0" encoding="utf-8"?>
<table xmlns="http://schemas.openxmlformats.org/spreadsheetml/2006/main" id="19" name="Tableau570820" displayName="Tableau570820" ref="C47:H51" totalsRowShown="0" headerRowDxfId="2635" dataDxfId="2633" headerRowBorderDxfId="2634" tableBorderDxfId="2632" totalsRowBorderDxfId="2631">
  <tableColumns count="6">
    <tableColumn id="1" name="Type d'intervention" dataDxfId="2630"/>
    <tableColumn id="2" name="Entreprise" dataDxfId="2629">
      <calculatedColumnFormula>D10</calculatedColumnFormula>
    </tableColumn>
    <tableColumn id="6" name=" " dataDxfId="2628">
      <calculatedColumnFormula>IF(E30="","",MOD(E30+1,52))</calculatedColumnFormula>
    </tableColumn>
    <tableColumn id="3" name="Date" dataDxfId="2627"/>
    <tableColumn id="4" name="Avancement" dataDxfId="2626"/>
    <tableColumn id="5" name="Commentaires" dataDxfId="2625"/>
  </tableColumns>
  <tableStyleInfo name="TableStyleLight1" showFirstColumn="0" showLastColumn="0" showRowStripes="1" showColumnStripes="0"/>
</table>
</file>

<file path=xl/tables/table63.xml><?xml version="1.0" encoding="utf-8"?>
<table xmlns="http://schemas.openxmlformats.org/spreadsheetml/2006/main" id="20" name="Tableau2571221" displayName="Tableau2571221" ref="C54:F58" totalsRowShown="0" headerRowDxfId="2624" dataDxfId="2622" headerRowBorderDxfId="2623" tableBorderDxfId="2621" totalsRowBorderDxfId="2620">
  <tableColumns count="4">
    <tableColumn id="1" name="réunion" dataDxfId="2619"/>
    <tableColumn id="2" name="date" dataDxfId="2618"/>
    <tableColumn id="4" name=" " dataDxfId="2617"/>
    <tableColumn id="3" name="état" dataDxfId="2616"/>
  </tableColumns>
  <tableStyleInfo name="TableStyleLight1" showFirstColumn="0" showLastColumn="0" showRowStripes="1" showColumnStripes="0"/>
</table>
</file>

<file path=xl/tables/table64.xml><?xml version="1.0" encoding="utf-8"?>
<table xmlns="http://schemas.openxmlformats.org/spreadsheetml/2006/main" id="61" name="Tableau270662" displayName="Tableau270662" ref="C7:H25" totalsRowShown="0" headerRowDxfId="2542" dataDxfId="2540" headerRowBorderDxfId="2541" tableBorderDxfId="2539" totalsRowBorderDxfId="2538">
  <tableColumns count="6">
    <tableColumn id="1" name="Type d'intervention" dataDxfId="2537"/>
    <tableColumn id="2" name="Entreprise" dataDxfId="2536"/>
    <tableColumn id="12" name="S" dataDxfId="2535"/>
    <tableColumn id="3" name="   Date" dataDxfId="2534"/>
    <tableColumn id="5" name="Avancement" dataDxfId="2533"/>
    <tableColumn id="4" name="Commentaires" dataDxfId="2532"/>
  </tableColumns>
  <tableStyleInfo name="TableStyleLight1" showFirstColumn="0" showLastColumn="0" showRowStripes="1" showColumnStripes="0"/>
</table>
</file>

<file path=xl/tables/table65.xml><?xml version="1.0" encoding="utf-8"?>
<table xmlns="http://schemas.openxmlformats.org/spreadsheetml/2006/main" id="62" name="Tableau470763" displayName="Tableau470763" ref="C28:H44" totalsRowShown="0" headerRowDxfId="2531" dataDxfId="2529" headerRowBorderDxfId="2530" tableBorderDxfId="2528" totalsRowBorderDxfId="2527">
  <tableColumns count="6">
    <tableColumn id="1" name="Type d'intervention" dataDxfId="2526"/>
    <tableColumn id="2" name="Entreprise" dataDxfId="2525"/>
    <tableColumn id="6" name="S" dataDxfId="2524">
      <calculatedColumnFormula>IF(E24="","",MOD(E24+1,52))</calculatedColumnFormula>
    </tableColumn>
    <tableColumn id="3" name="Date" dataDxfId="2523"/>
    <tableColumn id="4" name="Avancement" dataDxfId="2522"/>
    <tableColumn id="5" name="Commentaires" dataDxfId="2521"/>
  </tableColumns>
  <tableStyleInfo name="TableStyleLight1" showFirstColumn="0" showLastColumn="0" showRowStripes="1" showColumnStripes="0"/>
</table>
</file>

<file path=xl/tables/table66.xml><?xml version="1.0" encoding="utf-8"?>
<table xmlns="http://schemas.openxmlformats.org/spreadsheetml/2006/main" id="63" name="Tableau570864" displayName="Tableau570864" ref="C47:H51" totalsRowShown="0" headerRowDxfId="2520" dataDxfId="2518" headerRowBorderDxfId="2519" tableBorderDxfId="2517" totalsRowBorderDxfId="2516">
  <tableColumns count="6">
    <tableColumn id="1" name="Type d'intervention" dataDxfId="2515"/>
    <tableColumn id="2" name="Entreprise" dataDxfId="2514">
      <calculatedColumnFormula>D10</calculatedColumnFormula>
    </tableColumn>
    <tableColumn id="6" name=" " dataDxfId="2513">
      <calculatedColumnFormula>IF(E30="","",MOD(E30+1,52))</calculatedColumnFormula>
    </tableColumn>
    <tableColumn id="3" name="Date" dataDxfId="2512"/>
    <tableColumn id="4" name="Avancement" dataDxfId="2511"/>
    <tableColumn id="5" name="Commentaires" dataDxfId="2510"/>
  </tableColumns>
  <tableStyleInfo name="TableStyleLight1" showFirstColumn="0" showLastColumn="0" showRowStripes="1" showColumnStripes="0"/>
</table>
</file>

<file path=xl/tables/table67.xml><?xml version="1.0" encoding="utf-8"?>
<table xmlns="http://schemas.openxmlformats.org/spreadsheetml/2006/main" id="64" name="Tableau2571265" displayName="Tableau2571265" ref="C54:F58" totalsRowShown="0" headerRowDxfId="2509" dataDxfId="2507" headerRowBorderDxfId="2508" tableBorderDxfId="2506" totalsRowBorderDxfId="2505">
  <tableColumns count="4">
    <tableColumn id="1" name="réunion" dataDxfId="2504"/>
    <tableColumn id="2" name="date" dataDxfId="2503"/>
    <tableColumn id="4" name=" " dataDxfId="2502"/>
    <tableColumn id="3" name="état" dataDxfId="2501"/>
  </tableColumns>
  <tableStyleInfo name="TableStyleLight1" showFirstColumn="0" showLastColumn="0" showRowStripes="1" showColumnStripes="0"/>
</table>
</file>

<file path=xl/tables/table68.xml><?xml version="1.0" encoding="utf-8"?>
<table xmlns="http://schemas.openxmlformats.org/spreadsheetml/2006/main" id="57" name="Tableau270658" displayName="Tableau270658" ref="C7:H25" totalsRowShown="0" headerRowDxfId="2430" dataDxfId="2428" headerRowBorderDxfId="2429" tableBorderDxfId="2427" totalsRowBorderDxfId="2426">
  <tableColumns count="6">
    <tableColumn id="1" name="Type d'intervention" dataDxfId="2425"/>
    <tableColumn id="2" name="Entreprise" dataDxfId="2424"/>
    <tableColumn id="12" name="S" dataDxfId="2423"/>
    <tableColumn id="3" name="   Date" dataDxfId="2422"/>
    <tableColumn id="5" name="Avancement" dataDxfId="2421"/>
    <tableColumn id="4" name="Commentaires" dataDxfId="2420"/>
  </tableColumns>
  <tableStyleInfo name="TableStyleLight1" showFirstColumn="0" showLastColumn="0" showRowStripes="1" showColumnStripes="0"/>
</table>
</file>

<file path=xl/tables/table69.xml><?xml version="1.0" encoding="utf-8"?>
<table xmlns="http://schemas.openxmlformats.org/spreadsheetml/2006/main" id="58" name="Tableau470759" displayName="Tableau470759" ref="C28:H44" totalsRowShown="0" headerRowDxfId="2419" dataDxfId="2417" headerRowBorderDxfId="2418" tableBorderDxfId="2416" totalsRowBorderDxfId="2415">
  <tableColumns count="6">
    <tableColumn id="1" name="Type d'intervention" dataDxfId="2414"/>
    <tableColumn id="2" name="Entreprise" dataDxfId="2413"/>
    <tableColumn id="6" name="S" dataDxfId="2412">
      <calculatedColumnFormula>IF(E24="","",MOD(E24+1,52))</calculatedColumnFormula>
    </tableColumn>
    <tableColumn id="3" name="Date" dataDxfId="2411"/>
    <tableColumn id="4" name="Avancement" dataDxfId="2410"/>
    <tableColumn id="5" name="Commentaires" dataDxfId="2409"/>
  </tableColumns>
  <tableStyleInfo name="TableStyleLight1" showFirstColumn="0" showLastColumn="0" showRowStripes="1" showColumnStripes="0"/>
</table>
</file>

<file path=xl/tables/table70.xml><?xml version="1.0" encoding="utf-8"?>
<table xmlns="http://schemas.openxmlformats.org/spreadsheetml/2006/main" id="59" name="Tableau570860" displayName="Tableau570860" ref="C47:H51" totalsRowShown="0" headerRowDxfId="2408" dataDxfId="2406" headerRowBorderDxfId="2407" tableBorderDxfId="2405" totalsRowBorderDxfId="2404">
  <tableColumns count="6">
    <tableColumn id="1" name="Type d'intervention" dataDxfId="2403"/>
    <tableColumn id="2" name="Entreprise" dataDxfId="2402">
      <calculatedColumnFormula>D10</calculatedColumnFormula>
    </tableColumn>
    <tableColumn id="6" name=" " dataDxfId="2401">
      <calculatedColumnFormula>IF(E30="","",MOD(E30+1,52))</calculatedColumnFormula>
    </tableColumn>
    <tableColumn id="3" name="Date" dataDxfId="2400"/>
    <tableColumn id="4" name="Avancement" dataDxfId="2399"/>
    <tableColumn id="5" name="Commentaires" dataDxfId="2398"/>
  </tableColumns>
  <tableStyleInfo name="TableStyleLight1" showFirstColumn="0" showLastColumn="0" showRowStripes="1" showColumnStripes="0"/>
</table>
</file>

<file path=xl/tables/table71.xml><?xml version="1.0" encoding="utf-8"?>
<table xmlns="http://schemas.openxmlformats.org/spreadsheetml/2006/main" id="60" name="Tableau2571261" displayName="Tableau2571261" ref="C54:F58" totalsRowShown="0" headerRowDxfId="2397" dataDxfId="2395" headerRowBorderDxfId="2396" tableBorderDxfId="2394" totalsRowBorderDxfId="2393">
  <tableColumns count="4">
    <tableColumn id="1" name="réunion" dataDxfId="2392"/>
    <tableColumn id="2" name="date" dataDxfId="2391"/>
    <tableColumn id="4" name=" " dataDxfId="2390"/>
    <tableColumn id="3" name="état" dataDxfId="2389"/>
  </tableColumns>
  <tableStyleInfo name="TableStyleLight1" showFirstColumn="0" showLastColumn="0" showRowStripes="1" showColumnStripes="0"/>
</table>
</file>

<file path=xl/tables/table72.xml><?xml version="1.0" encoding="utf-8"?>
<table xmlns="http://schemas.openxmlformats.org/spreadsheetml/2006/main" id="37" name="Tableau270638" displayName="Tableau270638" ref="C7:H25" totalsRowShown="0" headerRowDxfId="2318" dataDxfId="2316" headerRowBorderDxfId="2317" tableBorderDxfId="2315" totalsRowBorderDxfId="2314">
  <tableColumns count="6">
    <tableColumn id="1" name="Type d'intervention" dataDxfId="2313"/>
    <tableColumn id="2" name="Entreprise" dataDxfId="2312"/>
    <tableColumn id="12" name="S" dataDxfId="2311"/>
    <tableColumn id="3" name="   Date" dataDxfId="2310"/>
    <tableColumn id="5" name="Avancement" dataDxfId="2309"/>
    <tableColumn id="4" name="Commentaires" dataDxfId="2308"/>
  </tableColumns>
  <tableStyleInfo name="TableStyleLight1" showFirstColumn="0" showLastColumn="0" showRowStripes="1" showColumnStripes="0"/>
</table>
</file>

<file path=xl/tables/table73.xml><?xml version="1.0" encoding="utf-8"?>
<table xmlns="http://schemas.openxmlformats.org/spreadsheetml/2006/main" id="38" name="Tableau470739" displayName="Tableau470739" ref="C28:H44" totalsRowShown="0" headerRowDxfId="2307" dataDxfId="2305" headerRowBorderDxfId="2306" tableBorderDxfId="2304" totalsRowBorderDxfId="2303">
  <tableColumns count="6">
    <tableColumn id="1" name="Type d'intervention" dataDxfId="2302"/>
    <tableColumn id="2" name="Entreprise" dataDxfId="2301"/>
    <tableColumn id="6" name="S" dataDxfId="2300">
      <calculatedColumnFormula>IF(E24="","",MOD(E24+1,52))</calculatedColumnFormula>
    </tableColumn>
    <tableColumn id="3" name="Date" dataDxfId="2299"/>
    <tableColumn id="4" name="Avancement" dataDxfId="2298"/>
    <tableColumn id="5" name="Commentaires" dataDxfId="2297"/>
  </tableColumns>
  <tableStyleInfo name="TableStyleLight1" showFirstColumn="0" showLastColumn="0" showRowStripes="1" showColumnStripes="0"/>
</table>
</file>

<file path=xl/tables/table74.xml><?xml version="1.0" encoding="utf-8"?>
<table xmlns="http://schemas.openxmlformats.org/spreadsheetml/2006/main" id="39" name="Tableau570840" displayName="Tableau570840" ref="C47:H51" totalsRowShown="0" headerRowDxfId="2296" dataDxfId="2294" headerRowBorderDxfId="2295" tableBorderDxfId="2293" totalsRowBorderDxfId="2292">
  <tableColumns count="6">
    <tableColumn id="1" name="Type d'intervention" dataDxfId="2291"/>
    <tableColumn id="2" name="Entreprise" dataDxfId="2290">
      <calculatedColumnFormula>D10</calculatedColumnFormula>
    </tableColumn>
    <tableColumn id="6" name=" " dataDxfId="2289">
      <calculatedColumnFormula>IF(E30="","",MOD(E30+1,52))</calculatedColumnFormula>
    </tableColumn>
    <tableColumn id="3" name="Date" dataDxfId="2288"/>
    <tableColumn id="4" name="Avancement" dataDxfId="2287"/>
    <tableColumn id="5" name="Commentaires" dataDxfId="2286"/>
  </tableColumns>
  <tableStyleInfo name="TableStyleLight1" showFirstColumn="0" showLastColumn="0" showRowStripes="1" showColumnStripes="0"/>
</table>
</file>

<file path=xl/tables/table75.xml><?xml version="1.0" encoding="utf-8"?>
<table xmlns="http://schemas.openxmlformats.org/spreadsheetml/2006/main" id="40" name="Tableau2571241" displayName="Tableau2571241" ref="C54:F58" totalsRowShown="0" headerRowDxfId="2285" dataDxfId="2283" headerRowBorderDxfId="2284" tableBorderDxfId="2282" totalsRowBorderDxfId="2281">
  <tableColumns count="4">
    <tableColumn id="1" name="réunion" dataDxfId="2280"/>
    <tableColumn id="2" name="date" dataDxfId="2279"/>
    <tableColumn id="4" name=" " dataDxfId="2278"/>
    <tableColumn id="3" name="état" dataDxfId="2277"/>
  </tableColumns>
  <tableStyleInfo name="TableStyleLight1" showFirstColumn="0" showLastColumn="0" showRowStripes="1" showColumnStripes="0"/>
</table>
</file>

<file path=xl/tables/table76.xml><?xml version="1.0" encoding="utf-8"?>
<table xmlns="http://schemas.openxmlformats.org/spreadsheetml/2006/main" id="154" name="Tableau2706143155" displayName="Tableau2706143155" ref="C7:H25" totalsRowShown="0" headerRowDxfId="2206" dataDxfId="2204" headerRowBorderDxfId="2205" tableBorderDxfId="2203" totalsRowBorderDxfId="2202">
  <tableColumns count="6">
    <tableColumn id="1" name="Type d'intervention" dataDxfId="2201"/>
    <tableColumn id="2" name="Entreprise" dataDxfId="2200"/>
    <tableColumn id="12" name="S" dataDxfId="2199"/>
    <tableColumn id="3" name="   Date" dataDxfId="2198"/>
    <tableColumn id="5" name="Avancement" dataDxfId="2197"/>
    <tableColumn id="4" name="Commentaires" dataDxfId="2196"/>
  </tableColumns>
  <tableStyleInfo name="TableStyleLight1" showFirstColumn="0" showLastColumn="0" showRowStripes="1" showColumnStripes="0"/>
</table>
</file>

<file path=xl/tables/table77.xml><?xml version="1.0" encoding="utf-8"?>
<table xmlns="http://schemas.openxmlformats.org/spreadsheetml/2006/main" id="155" name="Tableau4707144156" displayName="Tableau4707144156" ref="C28:H44" totalsRowShown="0" headerRowDxfId="2195" dataDxfId="2193" headerRowBorderDxfId="2194" tableBorderDxfId="2192" totalsRowBorderDxfId="2191">
  <tableColumns count="6">
    <tableColumn id="1" name="Type d'intervention" dataDxfId="2190"/>
    <tableColumn id="2" name="Entreprise" dataDxfId="2189"/>
    <tableColumn id="6" name="S" dataDxfId="2188">
      <calculatedColumnFormula>IF(E24="","",MOD(E24+1,52))</calculatedColumnFormula>
    </tableColumn>
    <tableColumn id="3" name="Date" dataDxfId="2187"/>
    <tableColumn id="4" name="Avancement" dataDxfId="2186"/>
    <tableColumn id="5" name="Commentaires" dataDxfId="2185"/>
  </tableColumns>
  <tableStyleInfo name="TableStyleLight1" showFirstColumn="0" showLastColumn="0" showRowStripes="1" showColumnStripes="0"/>
</table>
</file>

<file path=xl/tables/table78.xml><?xml version="1.0" encoding="utf-8"?>
<table xmlns="http://schemas.openxmlformats.org/spreadsheetml/2006/main" id="156" name="Tableau5708145157" displayName="Tableau5708145157" ref="C47:H51" totalsRowShown="0" headerRowDxfId="2184" dataDxfId="2182" headerRowBorderDxfId="2183" tableBorderDxfId="2181" totalsRowBorderDxfId="2180">
  <tableColumns count="6">
    <tableColumn id="1" name="Type d'intervention" dataDxfId="2179"/>
    <tableColumn id="2" name="Entreprise" dataDxfId="2178">
      <calculatedColumnFormula>D10</calculatedColumnFormula>
    </tableColumn>
    <tableColumn id="6" name=" " dataDxfId="2177">
      <calculatedColumnFormula>IF(E30="","",MOD(E30+1,52))</calculatedColumnFormula>
    </tableColumn>
    <tableColumn id="3" name="Date" dataDxfId="2176"/>
    <tableColumn id="4" name="Avancement" dataDxfId="2175"/>
    <tableColumn id="5" name="Commentaires" dataDxfId="2174"/>
  </tableColumns>
  <tableStyleInfo name="TableStyleLight1" showFirstColumn="0" showLastColumn="0" showRowStripes="1" showColumnStripes="0"/>
</table>
</file>

<file path=xl/tables/table79.xml><?xml version="1.0" encoding="utf-8"?>
<table xmlns="http://schemas.openxmlformats.org/spreadsheetml/2006/main" id="157" name="Tableau25712146158" displayName="Tableau25712146158" ref="C54:F58" totalsRowShown="0" headerRowDxfId="2173" dataDxfId="2171" headerRowBorderDxfId="2172" tableBorderDxfId="2170" totalsRowBorderDxfId="2169">
  <tableColumns count="4">
    <tableColumn id="1" name="réunion" dataDxfId="2168"/>
    <tableColumn id="2" name="date" dataDxfId="2167"/>
    <tableColumn id="4" name=" " dataDxfId="2166"/>
    <tableColumn id="3" name="état" dataDxfId="2165"/>
  </tableColumns>
  <tableStyleInfo name="TableStyleLight1" showFirstColumn="0" showLastColumn="0" showRowStripes="1" showColumnStripes="0"/>
</table>
</file>

<file path=xl/tables/table80.xml><?xml version="1.0" encoding="utf-8"?>
<table xmlns="http://schemas.openxmlformats.org/spreadsheetml/2006/main" id="35" name="Tableau270636" displayName="Tableau270636" ref="C7:H25" totalsRowShown="0" headerRowDxfId="2094" dataDxfId="2092" headerRowBorderDxfId="2093" tableBorderDxfId="2091" totalsRowBorderDxfId="2090">
  <tableColumns count="6">
    <tableColumn id="1" name="Type d'intervention" dataDxfId="2089"/>
    <tableColumn id="2" name="Entreprise" dataDxfId="2088"/>
    <tableColumn id="12" name="S" dataDxfId="2087"/>
    <tableColumn id="3" name="   Date" dataDxfId="2086"/>
    <tableColumn id="5" name="Avancement" dataDxfId="2085"/>
    <tableColumn id="4" name="Commentaires" dataDxfId="2084"/>
  </tableColumns>
  <tableStyleInfo name="TableStyleLight1" showFirstColumn="0" showLastColumn="0" showRowStripes="1" showColumnStripes="0"/>
</table>
</file>

<file path=xl/tables/table81.xml><?xml version="1.0" encoding="utf-8"?>
<table xmlns="http://schemas.openxmlformats.org/spreadsheetml/2006/main" id="36" name="Tableau470737" displayName="Tableau470737" ref="C28:H44" totalsRowShown="0" headerRowDxfId="2083" dataDxfId="2081" headerRowBorderDxfId="2082" tableBorderDxfId="2080" totalsRowBorderDxfId="2079">
  <tableColumns count="6">
    <tableColumn id="1" name="Type d'intervention" dataDxfId="2078"/>
    <tableColumn id="2" name="Entreprise" dataDxfId="2077"/>
    <tableColumn id="6" name="S" dataDxfId="2076">
      <calculatedColumnFormula>IF(E24="","",MOD(E24+1,52))</calculatedColumnFormula>
    </tableColumn>
    <tableColumn id="3" name="Date" dataDxfId="2075"/>
    <tableColumn id="4" name="Avancement" dataDxfId="2074"/>
    <tableColumn id="5" name="Commentaires" dataDxfId="2073"/>
  </tableColumns>
  <tableStyleInfo name="TableStyleLight1" showFirstColumn="0" showLastColumn="0" showRowStripes="1" showColumnStripes="0"/>
</table>
</file>

<file path=xl/tables/table82.xml><?xml version="1.0" encoding="utf-8"?>
<table xmlns="http://schemas.openxmlformats.org/spreadsheetml/2006/main" id="78" name="Tableau570879" displayName="Tableau570879" ref="C47:H51" totalsRowShown="0" headerRowDxfId="2072" dataDxfId="2070" headerRowBorderDxfId="2071" tableBorderDxfId="2069" totalsRowBorderDxfId="2068">
  <tableColumns count="6">
    <tableColumn id="1" name="Type d'intervention" dataDxfId="2067"/>
    <tableColumn id="2" name="Entreprise" dataDxfId="2066">
      <calculatedColumnFormula>D10</calculatedColumnFormula>
    </tableColumn>
    <tableColumn id="6" name=" " dataDxfId="2065">
      <calculatedColumnFormula>IF(E30="","",MOD(E30+1,52))</calculatedColumnFormula>
    </tableColumn>
    <tableColumn id="3" name="Date" dataDxfId="2064"/>
    <tableColumn id="4" name="Avancement" dataDxfId="2063"/>
    <tableColumn id="5" name="Commentaires" dataDxfId="2062"/>
  </tableColumns>
  <tableStyleInfo name="TableStyleLight1" showFirstColumn="0" showLastColumn="0" showRowStripes="1" showColumnStripes="0"/>
</table>
</file>

<file path=xl/tables/table83.xml><?xml version="1.0" encoding="utf-8"?>
<table xmlns="http://schemas.openxmlformats.org/spreadsheetml/2006/main" id="79" name="Tableau2571280" displayName="Tableau2571280" ref="C54:F58" totalsRowShown="0" headerRowDxfId="2061" dataDxfId="2059" headerRowBorderDxfId="2060" tableBorderDxfId="2058" totalsRowBorderDxfId="2057">
  <tableColumns count="4">
    <tableColumn id="1" name="réunion" dataDxfId="2056"/>
    <tableColumn id="2" name="date" dataDxfId="2055"/>
    <tableColumn id="4" name=" " dataDxfId="2054"/>
    <tableColumn id="3" name="état" dataDxfId="2053"/>
  </tableColumns>
  <tableStyleInfo name="TableStyleLight1" showFirstColumn="0" showLastColumn="0" showRowStripes="1" showColumnStripes="0"/>
</table>
</file>

<file path=xl/tables/table84.xml><?xml version="1.0" encoding="utf-8"?>
<table xmlns="http://schemas.openxmlformats.org/spreadsheetml/2006/main" id="13" name="Tableau270614" displayName="Tableau270614" ref="C7:H25" totalsRowShown="0" headerRowDxfId="1982" dataDxfId="1980" headerRowBorderDxfId="1981" tableBorderDxfId="1979" totalsRowBorderDxfId="1978">
  <tableColumns count="6">
    <tableColumn id="1" name="Type d'intervention" dataDxfId="1977"/>
    <tableColumn id="2" name="Entreprise" dataDxfId="1976"/>
    <tableColumn id="12" name="S" dataDxfId="1975"/>
    <tableColumn id="3" name="   Date" dataDxfId="1974"/>
    <tableColumn id="5" name="Avancement" dataDxfId="1973"/>
    <tableColumn id="4" name="Commentaires" dataDxfId="1972"/>
  </tableColumns>
  <tableStyleInfo name="TableStyleLight1" showFirstColumn="0" showLastColumn="0" showRowStripes="1" showColumnStripes="0"/>
</table>
</file>

<file path=xl/tables/table85.xml><?xml version="1.0" encoding="utf-8"?>
<table xmlns="http://schemas.openxmlformats.org/spreadsheetml/2006/main" id="14" name="Tableau470715" displayName="Tableau470715" ref="C28:H44" totalsRowShown="0" headerRowDxfId="1971" dataDxfId="1969" headerRowBorderDxfId="1970" tableBorderDxfId="1968" totalsRowBorderDxfId="1967">
  <tableColumns count="6">
    <tableColumn id="1" name="Type d'intervention" dataDxfId="1966"/>
    <tableColumn id="2" name="Entreprise" dataDxfId="1965"/>
    <tableColumn id="6" name="S" dataDxfId="1964">
      <calculatedColumnFormula>IF(E24="","",MOD(E24+1,52))</calculatedColumnFormula>
    </tableColumn>
    <tableColumn id="3" name="Date" dataDxfId="1963"/>
    <tableColumn id="4" name="Avancement" dataDxfId="1962"/>
    <tableColumn id="5" name="Commentaires" dataDxfId="1961"/>
  </tableColumns>
  <tableStyleInfo name="TableStyleLight1" showFirstColumn="0" showLastColumn="0" showRowStripes="1" showColumnStripes="0"/>
</table>
</file>

<file path=xl/tables/table86.xml><?xml version="1.0" encoding="utf-8"?>
<table xmlns="http://schemas.openxmlformats.org/spreadsheetml/2006/main" id="15" name="Tableau570816" displayName="Tableau570816" ref="C47:H51" totalsRowShown="0" headerRowDxfId="1960" dataDxfId="1958" headerRowBorderDxfId="1959" tableBorderDxfId="1957" totalsRowBorderDxfId="1956">
  <tableColumns count="6">
    <tableColumn id="1" name="Type d'intervention" dataDxfId="1955"/>
    <tableColumn id="2" name="Entreprise" dataDxfId="1954">
      <calculatedColumnFormula>D10</calculatedColumnFormula>
    </tableColumn>
    <tableColumn id="6" name=" " dataDxfId="1953">
      <calculatedColumnFormula>IF(E30="","",MOD(E30+1,52))</calculatedColumnFormula>
    </tableColumn>
    <tableColumn id="3" name="Date" dataDxfId="1952"/>
    <tableColumn id="4" name="Avancement" dataDxfId="1951"/>
    <tableColumn id="5" name="Commentaires" dataDxfId="1950"/>
  </tableColumns>
  <tableStyleInfo name="TableStyleLight1" showFirstColumn="0" showLastColumn="0" showRowStripes="1" showColumnStripes="0"/>
</table>
</file>

<file path=xl/tables/table87.xml><?xml version="1.0" encoding="utf-8"?>
<table xmlns="http://schemas.openxmlformats.org/spreadsheetml/2006/main" id="16" name="Tableau2571217" displayName="Tableau2571217" ref="C54:F58" totalsRowShown="0" headerRowDxfId="1949" dataDxfId="1947" headerRowBorderDxfId="1948" tableBorderDxfId="1946" totalsRowBorderDxfId="1945">
  <tableColumns count="4">
    <tableColumn id="1" name="réunion" dataDxfId="1944"/>
    <tableColumn id="2" name="date" dataDxfId="1943"/>
    <tableColumn id="4" name=" " dataDxfId="1942"/>
    <tableColumn id="3" name="état" dataDxfId="1941"/>
  </tableColumns>
  <tableStyleInfo name="TableStyleLight1" showFirstColumn="0" showLastColumn="0" showRowStripes="1" showColumnStripes="0"/>
</table>
</file>

<file path=xl/tables/table88.xml><?xml version="1.0" encoding="utf-8"?>
<table xmlns="http://schemas.openxmlformats.org/spreadsheetml/2006/main" id="89" name="Tableau270690" displayName="Tableau270690" ref="C7:H25" totalsRowShown="0" headerRowDxfId="1870" dataDxfId="1868" headerRowBorderDxfId="1869" tableBorderDxfId="1867" totalsRowBorderDxfId="1866">
  <tableColumns count="6">
    <tableColumn id="1" name="Type d'intervention" dataDxfId="1865"/>
    <tableColumn id="2" name="Entreprise" dataDxfId="1864"/>
    <tableColumn id="12" name="S" dataDxfId="1863"/>
    <tableColumn id="3" name="   Date" dataDxfId="1862"/>
    <tableColumn id="5" name="Avancement" dataDxfId="1861"/>
    <tableColumn id="4" name="Commentaires" dataDxfId="1860"/>
  </tableColumns>
  <tableStyleInfo name="TableStyleLight1" showFirstColumn="0" showLastColumn="0" showRowStripes="1" showColumnStripes="0"/>
</table>
</file>

<file path=xl/tables/table89.xml><?xml version="1.0" encoding="utf-8"?>
<table xmlns="http://schemas.openxmlformats.org/spreadsheetml/2006/main" id="90" name="Tableau470791" displayName="Tableau470791" ref="C28:H44" totalsRowShown="0" headerRowDxfId="1859" dataDxfId="1857" headerRowBorderDxfId="1858" tableBorderDxfId="1856" totalsRowBorderDxfId="1855">
  <tableColumns count="6">
    <tableColumn id="1" name="Type d'intervention" dataDxfId="1854"/>
    <tableColumn id="2" name="Entreprise" dataDxfId="1853"/>
    <tableColumn id="6" name="S" dataDxfId="1852">
      <calculatedColumnFormula>IF(E24="","",MOD(E24+1,52))</calculatedColumnFormula>
    </tableColumn>
    <tableColumn id="3" name="Date" dataDxfId="1851"/>
    <tableColumn id="4" name="Avancement" dataDxfId="1850"/>
    <tableColumn id="5" name="Commentaires" dataDxfId="1849"/>
  </tableColumns>
  <tableStyleInfo name="TableStyleLight1" showFirstColumn="0" showLastColumn="0" showRowStripes="1" showColumnStripes="0"/>
</table>
</file>

<file path=xl/tables/table90.xml><?xml version="1.0" encoding="utf-8"?>
<table xmlns="http://schemas.openxmlformats.org/spreadsheetml/2006/main" id="91" name="Tableau570892" displayName="Tableau570892" ref="C47:H51" totalsRowShown="0" headerRowDxfId="1848" dataDxfId="1846" headerRowBorderDxfId="1847" tableBorderDxfId="1845" totalsRowBorderDxfId="1844">
  <tableColumns count="6">
    <tableColumn id="1" name="Type d'intervention" dataDxfId="1843"/>
    <tableColumn id="2" name="Entreprise" dataDxfId="1842">
      <calculatedColumnFormula>D10</calculatedColumnFormula>
    </tableColumn>
    <tableColumn id="6" name=" " dataDxfId="1841">
      <calculatedColumnFormula>IF(E30="","",MOD(E30+1,52))</calculatedColumnFormula>
    </tableColumn>
    <tableColumn id="3" name="Date" dataDxfId="1840"/>
    <tableColumn id="4" name="Avancement" dataDxfId="1839"/>
    <tableColumn id="5" name="Commentaires" dataDxfId="1838"/>
  </tableColumns>
  <tableStyleInfo name="TableStyleLight1" showFirstColumn="0" showLastColumn="0" showRowStripes="1" showColumnStripes="0"/>
</table>
</file>

<file path=xl/tables/table91.xml><?xml version="1.0" encoding="utf-8"?>
<table xmlns="http://schemas.openxmlformats.org/spreadsheetml/2006/main" id="92" name="Tableau2571293" displayName="Tableau2571293" ref="C54:F58" totalsRowShown="0" headerRowDxfId="1837" dataDxfId="1835" headerRowBorderDxfId="1836" tableBorderDxfId="1834" totalsRowBorderDxfId="1833">
  <tableColumns count="4">
    <tableColumn id="1" name="réunion" dataDxfId="1832"/>
    <tableColumn id="2" name="date" dataDxfId="1831"/>
    <tableColumn id="4" name=" " dataDxfId="1830"/>
    <tableColumn id="3" name="état" dataDxfId="1829"/>
  </tableColumns>
  <tableStyleInfo name="TableStyleLight1" showFirstColumn="0" showLastColumn="0" showRowStripes="1" showColumnStripes="0"/>
</table>
</file>

<file path=xl/tables/table92.xml><?xml version="1.0" encoding="utf-8"?>
<table xmlns="http://schemas.openxmlformats.org/spreadsheetml/2006/main" id="146" name="Tableau2706147" displayName="Tableau2706147" ref="C7:H25" totalsRowShown="0" headerRowDxfId="1758" dataDxfId="1756" headerRowBorderDxfId="1757" tableBorderDxfId="1755" totalsRowBorderDxfId="1754">
  <tableColumns count="6">
    <tableColumn id="1" name="Type d'intervention" dataDxfId="1753"/>
    <tableColumn id="2" name="Entreprise" dataDxfId="1752"/>
    <tableColumn id="12" name="S" dataDxfId="1751"/>
    <tableColumn id="3" name="   Date" dataDxfId="1750"/>
    <tableColumn id="5" name="Avancement" dataDxfId="1749"/>
    <tableColumn id="4" name="Commentaires" dataDxfId="1748"/>
  </tableColumns>
  <tableStyleInfo name="TableStyleLight1" showFirstColumn="0" showLastColumn="0" showRowStripes="1" showColumnStripes="0"/>
</table>
</file>

<file path=xl/tables/table93.xml><?xml version="1.0" encoding="utf-8"?>
<table xmlns="http://schemas.openxmlformats.org/spreadsheetml/2006/main" id="147" name="Tableau4707148" displayName="Tableau4707148" ref="C28:H44" totalsRowShown="0" headerRowDxfId="1747" dataDxfId="1745" headerRowBorderDxfId="1746" tableBorderDxfId="1744" totalsRowBorderDxfId="1743">
  <tableColumns count="6">
    <tableColumn id="1" name="Type d'intervention" dataDxfId="1742"/>
    <tableColumn id="2" name="Entreprise" dataDxfId="1741"/>
    <tableColumn id="6" name="S" dataDxfId="1740">
      <calculatedColumnFormula>IF(E24="","",MOD(E24+1,52))</calculatedColumnFormula>
    </tableColumn>
    <tableColumn id="3" name="Date" dataDxfId="1739"/>
    <tableColumn id="4" name="Avancement" dataDxfId="1738"/>
    <tableColumn id="5" name="Commentaires" dataDxfId="1737"/>
  </tableColumns>
  <tableStyleInfo name="TableStyleLight1" showFirstColumn="0" showLastColumn="0" showRowStripes="1" showColumnStripes="0"/>
</table>
</file>

<file path=xl/tables/table94.xml><?xml version="1.0" encoding="utf-8"?>
<table xmlns="http://schemas.openxmlformats.org/spreadsheetml/2006/main" id="148" name="Tableau5708149" displayName="Tableau5708149" ref="C47:H51" totalsRowShown="0" headerRowDxfId="1736" dataDxfId="1734" headerRowBorderDxfId="1735" tableBorderDxfId="1733" totalsRowBorderDxfId="1732">
  <tableColumns count="6">
    <tableColumn id="1" name="Type d'intervention" dataDxfId="1731"/>
    <tableColumn id="2" name="Entreprise" dataDxfId="1730">
      <calculatedColumnFormula>D10</calculatedColumnFormula>
    </tableColumn>
    <tableColumn id="6" name=" " dataDxfId="1729">
      <calculatedColumnFormula>IF(E30="","",MOD(E30+1,52))</calculatedColumnFormula>
    </tableColumn>
    <tableColumn id="3" name="Date" dataDxfId="1728"/>
    <tableColumn id="4" name="Avancement" dataDxfId="1727"/>
    <tableColumn id="5" name="Commentaires" dataDxfId="1726"/>
  </tableColumns>
  <tableStyleInfo name="TableStyleLight1" showFirstColumn="0" showLastColumn="0" showRowStripes="1" showColumnStripes="0"/>
</table>
</file>

<file path=xl/tables/table95.xml><?xml version="1.0" encoding="utf-8"?>
<table xmlns="http://schemas.openxmlformats.org/spreadsheetml/2006/main" id="149" name="Tableau25712150" displayName="Tableau25712150" ref="C54:F58" totalsRowShown="0" headerRowDxfId="1725" dataDxfId="1723" headerRowBorderDxfId="1724" tableBorderDxfId="1722" totalsRowBorderDxfId="1721">
  <tableColumns count="4">
    <tableColumn id="1" name="réunion" dataDxfId="1720"/>
    <tableColumn id="2" name="date" dataDxfId="1719"/>
    <tableColumn id="4" name=" " dataDxfId="1718"/>
    <tableColumn id="3" name="état" dataDxfId="1717"/>
  </tableColumns>
  <tableStyleInfo name="TableStyleLight1" showFirstColumn="0" showLastColumn="0" showRowStripes="1" showColumnStripes="0"/>
</table>
</file>

<file path=xl/tables/table96.xml><?xml version="1.0" encoding="utf-8"?>
<table xmlns="http://schemas.openxmlformats.org/spreadsheetml/2006/main" id="126" name="Tableau2706127" displayName="Tableau2706127" ref="C7:H25" totalsRowShown="0" headerRowDxfId="1646" dataDxfId="1644" headerRowBorderDxfId="1645" tableBorderDxfId="1643" totalsRowBorderDxfId="1642">
  <tableColumns count="6">
    <tableColumn id="1" name="Type d'intervention" dataDxfId="1641"/>
    <tableColumn id="2" name="Entreprise" dataDxfId="1640"/>
    <tableColumn id="12" name="S" dataDxfId="1639"/>
    <tableColumn id="3" name="   Date" dataDxfId="1638"/>
    <tableColumn id="5" name="Avancement" dataDxfId="1637"/>
    <tableColumn id="4" name="Commentaires" dataDxfId="1636"/>
  </tableColumns>
  <tableStyleInfo name="TableStyleLight1" showFirstColumn="0" showLastColumn="0" showRowStripes="1" showColumnStripes="0"/>
</table>
</file>

<file path=xl/tables/table97.xml><?xml version="1.0" encoding="utf-8"?>
<table xmlns="http://schemas.openxmlformats.org/spreadsheetml/2006/main" id="127" name="Tableau4707128" displayName="Tableau4707128" ref="C28:H44" totalsRowShown="0" headerRowDxfId="1635" dataDxfId="1633" headerRowBorderDxfId="1634" tableBorderDxfId="1632" totalsRowBorderDxfId="1631">
  <tableColumns count="6">
    <tableColumn id="1" name="Type d'intervention" dataDxfId="1630"/>
    <tableColumn id="2" name="Entreprise" dataDxfId="1629"/>
    <tableColumn id="6" name="S" dataDxfId="1628">
      <calculatedColumnFormula>IF(E24="","",MOD(E24+1,52))</calculatedColumnFormula>
    </tableColumn>
    <tableColumn id="3" name="Date" dataDxfId="1627"/>
    <tableColumn id="4" name="Avancement" dataDxfId="1626"/>
    <tableColumn id="5" name="Commentaires" dataDxfId="1625"/>
  </tableColumns>
  <tableStyleInfo name="TableStyleLight1" showFirstColumn="0" showLastColumn="0" showRowStripes="1" showColumnStripes="0"/>
</table>
</file>

<file path=xl/tables/table98.xml><?xml version="1.0" encoding="utf-8"?>
<table xmlns="http://schemas.openxmlformats.org/spreadsheetml/2006/main" id="128" name="Tableau5708129" displayName="Tableau5708129" ref="C47:H51" totalsRowShown="0" headerRowDxfId="1624" dataDxfId="1622" headerRowBorderDxfId="1623" tableBorderDxfId="1621" totalsRowBorderDxfId="1620">
  <tableColumns count="6">
    <tableColumn id="1" name="Type d'intervention" dataDxfId="1619"/>
    <tableColumn id="2" name="Entreprise" dataDxfId="1618">
      <calculatedColumnFormula>D10</calculatedColumnFormula>
    </tableColumn>
    <tableColumn id="6" name=" " dataDxfId="1617">
      <calculatedColumnFormula>IF(E30="","",MOD(E30+1,52))</calculatedColumnFormula>
    </tableColumn>
    <tableColumn id="3" name="Date" dataDxfId="1616"/>
    <tableColumn id="4" name="Avancement" dataDxfId="1615"/>
    <tableColumn id="5" name="Commentaires" dataDxfId="1614"/>
  </tableColumns>
  <tableStyleInfo name="TableStyleLight1" showFirstColumn="0" showLastColumn="0" showRowStripes="1" showColumnStripes="0"/>
</table>
</file>

<file path=xl/tables/table99.xml><?xml version="1.0" encoding="utf-8"?>
<table xmlns="http://schemas.openxmlformats.org/spreadsheetml/2006/main" id="129" name="Tableau25712130" displayName="Tableau25712130" ref="C54:F58" totalsRowShown="0" headerRowDxfId="1613" dataDxfId="1611" headerRowBorderDxfId="1612" tableBorderDxfId="1610" totalsRowBorderDxfId="1609">
  <tableColumns count="4">
    <tableColumn id="1" name="réunion" dataDxfId="1608"/>
    <tableColumn id="2" name="date" dataDxfId="1607"/>
    <tableColumn id="4" name=" " dataDxfId="1606"/>
    <tableColumn id="3" name="état" dataDxfId="1605"/>
  </tableColumns>
  <tableStyleInfo name="TableStyleLight1" showFirstColumn="0" showLastColumn="0" showRowStripes="1" showColumnStripes="0"/>
</table>
</file>

<file path=xl/tables/table100.xml><?xml version="1.0" encoding="utf-8"?>
<table xmlns="http://schemas.openxmlformats.org/spreadsheetml/2006/main" id="69" name="Tableau27062270" displayName="Tableau27062270" ref="C7:H25" totalsRowShown="0" headerRowDxfId="1534" dataDxfId="1532" headerRowBorderDxfId="1533" tableBorderDxfId="1531" totalsRowBorderDxfId="1530">
  <tableColumns count="6">
    <tableColumn id="1" name="Type d'intervention" dataDxfId="1529"/>
    <tableColumn id="2" name="Entreprise" dataDxfId="1528"/>
    <tableColumn id="12" name="S" dataDxfId="1527"/>
    <tableColumn id="3" name="   Date" dataDxfId="1526"/>
    <tableColumn id="5" name="Avancement" dataDxfId="1525"/>
    <tableColumn id="4" name="Commentaires" dataDxfId="1524"/>
  </tableColumns>
  <tableStyleInfo name="TableStyleLight1" showFirstColumn="0" showLastColumn="0" showRowStripes="1" showColumnStripes="0"/>
</table>
</file>

<file path=xl/tables/table101.xml><?xml version="1.0" encoding="utf-8"?>
<table xmlns="http://schemas.openxmlformats.org/spreadsheetml/2006/main" id="70" name="Tableau47072371" displayName="Tableau47072371" ref="C28:H44" totalsRowShown="0" headerRowDxfId="1523" dataDxfId="1521" headerRowBorderDxfId="1522" tableBorderDxfId="1520" totalsRowBorderDxfId="1519">
  <tableColumns count="6">
    <tableColumn id="1" name="Type d'intervention" dataDxfId="1518"/>
    <tableColumn id="2" name="Entreprise" dataDxfId="1517"/>
    <tableColumn id="6" name="S" dataDxfId="1516">
      <calculatedColumnFormula>IF(E24="","",MOD(E24+1,52))</calculatedColumnFormula>
    </tableColumn>
    <tableColumn id="3" name="Date" dataDxfId="1515"/>
    <tableColumn id="4" name="Avancement" dataDxfId="1514"/>
    <tableColumn id="5" name="Commentaires" dataDxfId="1513"/>
  </tableColumns>
  <tableStyleInfo name="TableStyleLight1" showFirstColumn="0" showLastColumn="0" showRowStripes="1" showColumnStripes="0"/>
</table>
</file>

<file path=xl/tables/table102.xml><?xml version="1.0" encoding="utf-8"?>
<table xmlns="http://schemas.openxmlformats.org/spreadsheetml/2006/main" id="71" name="Tableau57082472" displayName="Tableau57082472" ref="C47:H51" totalsRowShown="0" headerRowDxfId="1512" dataDxfId="1510" headerRowBorderDxfId="1511" tableBorderDxfId="1509" totalsRowBorderDxfId="1508">
  <tableColumns count="6">
    <tableColumn id="1" name="Type d'intervention" dataDxfId="1507"/>
    <tableColumn id="2" name="Entreprise" dataDxfId="1506">
      <calculatedColumnFormula>D10</calculatedColumnFormula>
    </tableColumn>
    <tableColumn id="6" name=" " dataDxfId="1505">
      <calculatedColumnFormula>IF(E30="","",MOD(E30+1,52))</calculatedColumnFormula>
    </tableColumn>
    <tableColumn id="3" name="Date" dataDxfId="1504"/>
    <tableColumn id="4" name="Avancement" dataDxfId="1503"/>
    <tableColumn id="5" name="Commentaires" dataDxfId="1502"/>
  </tableColumns>
  <tableStyleInfo name="TableStyleLight1" showFirstColumn="0" showLastColumn="0" showRowStripes="1" showColumnStripes="0"/>
</table>
</file>

<file path=xl/tables/table103.xml><?xml version="1.0" encoding="utf-8"?>
<table xmlns="http://schemas.openxmlformats.org/spreadsheetml/2006/main" id="72" name="Tableau257122573" displayName="Tableau257122573" ref="C54:F58" totalsRowShown="0" headerRowDxfId="1501" dataDxfId="1499" headerRowBorderDxfId="1500" tableBorderDxfId="1498" totalsRowBorderDxfId="1497">
  <tableColumns count="4">
    <tableColumn id="1" name="réunion" dataDxfId="1496"/>
    <tableColumn id="2" name="date" dataDxfId="1495"/>
    <tableColumn id="4" name=" " dataDxfId="1494"/>
    <tableColumn id="3" name="état" dataDxfId="1493"/>
  </tableColumns>
  <tableStyleInfo name="TableStyleLight1" showFirstColumn="0" showLastColumn="0" showRowStripes="1" showColumnStripes="0"/>
</table>
</file>

<file path=xl/tables/table104.xml><?xml version="1.0" encoding="utf-8"?>
<table xmlns="http://schemas.openxmlformats.org/spreadsheetml/2006/main" id="53" name="Tableau270654" displayName="Tableau270654" ref="C7:H25" totalsRowShown="0" headerRowDxfId="1422" dataDxfId="1420" headerRowBorderDxfId="1421" tableBorderDxfId="1419" totalsRowBorderDxfId="1418">
  <tableColumns count="6">
    <tableColumn id="1" name="Type d'intervention" dataDxfId="1417"/>
    <tableColumn id="2" name="Entreprise" dataDxfId="1416"/>
    <tableColumn id="12" name="S" dataDxfId="1415"/>
    <tableColumn id="3" name="   Date" dataDxfId="1414"/>
    <tableColumn id="5" name="Avancement" dataDxfId="1413"/>
    <tableColumn id="4" name="Commentaires" dataDxfId="1412"/>
  </tableColumns>
  <tableStyleInfo name="TableStyleLight1" showFirstColumn="0" showLastColumn="0" showRowStripes="1" showColumnStripes="0"/>
</table>
</file>

<file path=xl/tables/table105.xml><?xml version="1.0" encoding="utf-8"?>
<table xmlns="http://schemas.openxmlformats.org/spreadsheetml/2006/main" id="54" name="Tableau470755" displayName="Tableau470755" ref="C28:H44" totalsRowShown="0" headerRowDxfId="1411" dataDxfId="1409" headerRowBorderDxfId="1410" tableBorderDxfId="1408" totalsRowBorderDxfId="1407">
  <tableColumns count="6">
    <tableColumn id="1" name="Type d'intervention" dataDxfId="1406"/>
    <tableColumn id="2" name="Entreprise" dataDxfId="1405"/>
    <tableColumn id="6" name="S" dataDxfId="1404">
      <calculatedColumnFormula>IF(E24="","",MOD(E24+1,52))</calculatedColumnFormula>
    </tableColumn>
    <tableColumn id="3" name="Date" dataDxfId="1403"/>
    <tableColumn id="4" name="Avancement" dataDxfId="1402"/>
    <tableColumn id="5" name="Commentaires" dataDxfId="1401"/>
  </tableColumns>
  <tableStyleInfo name="TableStyleLight1" showFirstColumn="0" showLastColumn="0" showRowStripes="1" showColumnStripes="0"/>
</table>
</file>

<file path=xl/tables/table106.xml><?xml version="1.0" encoding="utf-8"?>
<table xmlns="http://schemas.openxmlformats.org/spreadsheetml/2006/main" id="55" name="Tableau570856" displayName="Tableau570856" ref="C47:H51" totalsRowShown="0" headerRowDxfId="1400" dataDxfId="1398" headerRowBorderDxfId="1399" tableBorderDxfId="1397" totalsRowBorderDxfId="1396">
  <tableColumns count="6">
    <tableColumn id="1" name="Type d'intervention" dataDxfId="1395"/>
    <tableColumn id="2" name="Entreprise" dataDxfId="1394">
      <calculatedColumnFormula>D10</calculatedColumnFormula>
    </tableColumn>
    <tableColumn id="6" name=" " dataDxfId="1393">
      <calculatedColumnFormula>IF(E30="","",MOD(E30+1,52))</calculatedColumnFormula>
    </tableColumn>
    <tableColumn id="3" name="Date" dataDxfId="1392"/>
    <tableColumn id="4" name="Avancement" dataDxfId="1391"/>
    <tableColumn id="5" name="Commentaires" dataDxfId="1390"/>
  </tableColumns>
  <tableStyleInfo name="TableStyleLight1" showFirstColumn="0" showLastColumn="0" showRowStripes="1" showColumnStripes="0"/>
</table>
</file>

<file path=xl/tables/table107.xml><?xml version="1.0" encoding="utf-8"?>
<table xmlns="http://schemas.openxmlformats.org/spreadsheetml/2006/main" id="56" name="Tableau2571257" displayName="Tableau2571257" ref="C54:F58" totalsRowShown="0" headerRowDxfId="1389" dataDxfId="1387" headerRowBorderDxfId="1388" tableBorderDxfId="1386" totalsRowBorderDxfId="1385">
  <tableColumns count="4">
    <tableColumn id="1" name="réunion" dataDxfId="1384"/>
    <tableColumn id="2" name="date" dataDxfId="1383"/>
    <tableColumn id="4" name=" " dataDxfId="1382"/>
    <tableColumn id="3" name="état" dataDxfId="1381"/>
  </tableColumns>
  <tableStyleInfo name="TableStyleLight1" showFirstColumn="0" showLastColumn="0" showRowStripes="1" showColumnStripes="0"/>
</table>
</file>

<file path=xl/tables/table108.xml><?xml version="1.0" encoding="utf-8"?>
<table xmlns="http://schemas.openxmlformats.org/spreadsheetml/2006/main" id="122" name="Tableau2706123" displayName="Tableau2706123" ref="C7:H25" totalsRowShown="0" headerRowDxfId="1310" dataDxfId="1308" headerRowBorderDxfId="1309" tableBorderDxfId="1307" totalsRowBorderDxfId="1306">
  <tableColumns count="6">
    <tableColumn id="1" name="Type d'intervention" dataDxfId="1305"/>
    <tableColumn id="2" name="Entreprise" dataDxfId="1304"/>
    <tableColumn id="12" name="S" dataDxfId="1303"/>
    <tableColumn id="3" name="   Date" dataDxfId="1302"/>
    <tableColumn id="5" name="Avancement" dataDxfId="1301"/>
    <tableColumn id="4" name="Commentaires" dataDxfId="1300"/>
  </tableColumns>
  <tableStyleInfo name="TableStyleLight1" showFirstColumn="0" showLastColumn="0" showRowStripes="1" showColumnStripes="0"/>
</table>
</file>

<file path=xl/tables/table109.xml><?xml version="1.0" encoding="utf-8"?>
<table xmlns="http://schemas.openxmlformats.org/spreadsheetml/2006/main" id="123" name="Tableau4707124" displayName="Tableau4707124" ref="C28:H44" totalsRowShown="0" headerRowDxfId="1299" dataDxfId="1297" headerRowBorderDxfId="1298" tableBorderDxfId="1296" totalsRowBorderDxfId="1295">
  <tableColumns count="6">
    <tableColumn id="1" name="Type d'intervention" dataDxfId="1294"/>
    <tableColumn id="2" name="Entreprise" dataDxfId="1293"/>
    <tableColumn id="6" name="S" dataDxfId="1292">
      <calculatedColumnFormula>IF(E24="","",MOD(E24+1,52))</calculatedColumnFormula>
    </tableColumn>
    <tableColumn id="3" name="Date" dataDxfId="1291"/>
    <tableColumn id="4" name="Avancement" dataDxfId="1290"/>
    <tableColumn id="5" name="Commentaires" dataDxfId="1289"/>
  </tableColumns>
  <tableStyleInfo name="TableStyleLight1" showFirstColumn="0" showLastColumn="0" showRowStripes="1" showColumnStripes="0"/>
</table>
</file>

<file path=xl/tables/table110.xml><?xml version="1.0" encoding="utf-8"?>
<table xmlns="http://schemas.openxmlformats.org/spreadsheetml/2006/main" id="124" name="Tableau5708125" displayName="Tableau5708125" ref="C47:H51" totalsRowShown="0" headerRowDxfId="1288" dataDxfId="1286" headerRowBorderDxfId="1287" tableBorderDxfId="1285" totalsRowBorderDxfId="1284">
  <tableColumns count="6">
    <tableColumn id="1" name="Type d'intervention" dataDxfId="1283"/>
    <tableColumn id="2" name="Entreprise" dataDxfId="1282">
      <calculatedColumnFormula>D10</calculatedColumnFormula>
    </tableColumn>
    <tableColumn id="6" name=" " dataDxfId="1281">
      <calculatedColumnFormula>IF(E30="","",MOD(E30+1,52))</calculatedColumnFormula>
    </tableColumn>
    <tableColumn id="3" name="Date" dataDxfId="1280"/>
    <tableColumn id="4" name="Avancement" dataDxfId="1279"/>
    <tableColumn id="5" name="Commentaires" dataDxfId="1278"/>
  </tableColumns>
  <tableStyleInfo name="TableStyleLight1" showFirstColumn="0" showLastColumn="0" showRowStripes="1" showColumnStripes="0"/>
</table>
</file>

<file path=xl/tables/table111.xml><?xml version="1.0" encoding="utf-8"?>
<table xmlns="http://schemas.openxmlformats.org/spreadsheetml/2006/main" id="125" name="Tableau25712126" displayName="Tableau25712126" ref="C54:F58" totalsRowShown="0" headerRowDxfId="1277" dataDxfId="1275" headerRowBorderDxfId="1276" tableBorderDxfId="1274" totalsRowBorderDxfId="1273">
  <tableColumns count="4">
    <tableColumn id="1" name="réunion" dataDxfId="1272"/>
    <tableColumn id="2" name="date" dataDxfId="1271"/>
    <tableColumn id="4" name=" " dataDxfId="1270"/>
    <tableColumn id="3" name="état" dataDxfId="1269"/>
  </tableColumns>
  <tableStyleInfo name="TableStyleLight1" showFirstColumn="0" showLastColumn="0" showRowStripes="1" showColumnStripes="0"/>
</table>
</file>

<file path=xl/tables/table112.xml><?xml version="1.0" encoding="utf-8"?>
<table xmlns="http://schemas.openxmlformats.org/spreadsheetml/2006/main" id="21" name="Tableau270622" displayName="Tableau270622" ref="C7:H25" totalsRowShown="0" headerRowDxfId="1198" dataDxfId="1196" headerRowBorderDxfId="1197" tableBorderDxfId="1195" totalsRowBorderDxfId="1194">
  <tableColumns count="6">
    <tableColumn id="1" name="Type d'intervention" dataDxfId="1193"/>
    <tableColumn id="2" name="Entreprise" dataDxfId="1192"/>
    <tableColumn id="12" name="S" dataDxfId="1191"/>
    <tableColumn id="3" name="   Date" dataDxfId="1190"/>
    <tableColumn id="5" name="Avancement" dataDxfId="1189"/>
    <tableColumn id="4" name="Commentaires" dataDxfId="1188"/>
  </tableColumns>
  <tableStyleInfo name="TableStyleLight1" showFirstColumn="0" showLastColumn="0" showRowStripes="1" showColumnStripes="0"/>
</table>
</file>

<file path=xl/tables/table113.xml><?xml version="1.0" encoding="utf-8"?>
<table xmlns="http://schemas.openxmlformats.org/spreadsheetml/2006/main" id="22" name="Tableau470723" displayName="Tableau470723" ref="C28:H44" totalsRowShown="0" headerRowDxfId="1187" dataDxfId="1185" headerRowBorderDxfId="1186" tableBorderDxfId="1184" totalsRowBorderDxfId="1183">
  <tableColumns count="6">
    <tableColumn id="1" name="Type d'intervention" dataDxfId="1182"/>
    <tableColumn id="2" name="Entreprise" dataDxfId="1181"/>
    <tableColumn id="6" name="S" dataDxfId="1180">
      <calculatedColumnFormula>IF(E24="","",MOD(E24+1,52))</calculatedColumnFormula>
    </tableColumn>
    <tableColumn id="3" name="Date" dataDxfId="1179"/>
    <tableColumn id="4" name="Avancement" dataDxfId="1178"/>
    <tableColumn id="5" name="Commentaires" dataDxfId="1177"/>
  </tableColumns>
  <tableStyleInfo name="TableStyleLight1" showFirstColumn="0" showLastColumn="0" showRowStripes="1" showColumnStripes="0"/>
</table>
</file>

<file path=xl/tables/table114.xml><?xml version="1.0" encoding="utf-8"?>
<table xmlns="http://schemas.openxmlformats.org/spreadsheetml/2006/main" id="23" name="Tableau570824" displayName="Tableau570824" ref="C47:H51" totalsRowShown="0" headerRowDxfId="1176" dataDxfId="1174" headerRowBorderDxfId="1175" tableBorderDxfId="1173" totalsRowBorderDxfId="1172">
  <tableColumns count="6">
    <tableColumn id="1" name="Type d'intervention" dataDxfId="1171"/>
    <tableColumn id="2" name="Entreprise" dataDxfId="1170">
      <calculatedColumnFormula>D10</calculatedColumnFormula>
    </tableColumn>
    <tableColumn id="6" name=" " dataDxfId="1169">
      <calculatedColumnFormula>IF(E30="","",MOD(E30+1,52))</calculatedColumnFormula>
    </tableColumn>
    <tableColumn id="3" name="Date" dataDxfId="1168"/>
    <tableColumn id="4" name="Avancement" dataDxfId="1167"/>
    <tableColumn id="5" name="Commentaires" dataDxfId="1166"/>
  </tableColumns>
  <tableStyleInfo name="TableStyleLight1" showFirstColumn="0" showLastColumn="0" showRowStripes="1" showColumnStripes="0"/>
</table>
</file>

<file path=xl/tables/table115.xml><?xml version="1.0" encoding="utf-8"?>
<table xmlns="http://schemas.openxmlformats.org/spreadsheetml/2006/main" id="24" name="Tableau2571225" displayName="Tableau2571225" ref="C54:F58" totalsRowShown="0" headerRowDxfId="1165" dataDxfId="1163" headerRowBorderDxfId="1164" tableBorderDxfId="1162" totalsRowBorderDxfId="1161">
  <tableColumns count="4">
    <tableColumn id="1" name="réunion" dataDxfId="1160"/>
    <tableColumn id="2" name="date" dataDxfId="1159"/>
    <tableColumn id="4" name=" " dataDxfId="1158"/>
    <tableColumn id="3" name="état" dataDxfId="1157"/>
  </tableColumns>
  <tableStyleInfo name="TableStyleLight1" showFirstColumn="0" showLastColumn="0" showRowStripes="1" showColumnStripes="0"/>
</table>
</file>

<file path=xl/tables/table116.xml><?xml version="1.0" encoding="utf-8"?>
<table xmlns="http://schemas.openxmlformats.org/spreadsheetml/2006/main" id="29" name="Tableau270630" displayName="Tableau270630" ref="C7:H25" totalsRowShown="0" headerRowDxfId="1086" dataDxfId="1084" headerRowBorderDxfId="1085" tableBorderDxfId="1083" totalsRowBorderDxfId="1082">
  <tableColumns count="6">
    <tableColumn id="1" name="Type d'intervention" dataDxfId="1081"/>
    <tableColumn id="2" name="Entreprise" dataDxfId="1080"/>
    <tableColumn id="12" name="S" dataDxfId="1079"/>
    <tableColumn id="3" name="   Date" dataDxfId="1078"/>
    <tableColumn id="5" name="Avancement" dataDxfId="1077"/>
    <tableColumn id="4" name="Commentaires" dataDxfId="1076"/>
  </tableColumns>
  <tableStyleInfo name="TableStyleLight1" showFirstColumn="0" showLastColumn="0" showRowStripes="1" showColumnStripes="0"/>
</table>
</file>

<file path=xl/tables/table117.xml><?xml version="1.0" encoding="utf-8"?>
<table xmlns="http://schemas.openxmlformats.org/spreadsheetml/2006/main" id="30" name="Tableau470731" displayName="Tableau470731" ref="C28:H44" totalsRowShown="0" headerRowDxfId="1075" dataDxfId="1073" headerRowBorderDxfId="1074" tableBorderDxfId="1072" totalsRowBorderDxfId="1071">
  <tableColumns count="6">
    <tableColumn id="1" name="Type d'intervention" dataDxfId="1070"/>
    <tableColumn id="2" name="Entreprise" dataDxfId="1069"/>
    <tableColumn id="6" name="S" dataDxfId="1068">
      <calculatedColumnFormula>IF(E24="","",MOD(E24+1,52))</calculatedColumnFormula>
    </tableColumn>
    <tableColumn id="3" name="Date" dataDxfId="1067"/>
    <tableColumn id="4" name="Avancement" dataDxfId="1066"/>
    <tableColumn id="5" name="Commentaires" dataDxfId="1065"/>
  </tableColumns>
  <tableStyleInfo name="TableStyleLight1" showFirstColumn="0" showLastColumn="0" showRowStripes="1" showColumnStripes="0"/>
</table>
</file>

<file path=xl/tables/table118.xml><?xml version="1.0" encoding="utf-8"?>
<table xmlns="http://schemas.openxmlformats.org/spreadsheetml/2006/main" id="31" name="Tableau570832" displayName="Tableau570832" ref="C47:H51" totalsRowShown="0" headerRowDxfId="1064" dataDxfId="1062" headerRowBorderDxfId="1063" tableBorderDxfId="1061" totalsRowBorderDxfId="1060">
  <tableColumns count="6">
    <tableColumn id="1" name="Type d'intervention" dataDxfId="1059"/>
    <tableColumn id="2" name="Entreprise" dataDxfId="1058">
      <calculatedColumnFormula>D10</calculatedColumnFormula>
    </tableColumn>
    <tableColumn id="6" name=" " dataDxfId="1057">
      <calculatedColumnFormula>IF(E30="","",MOD(E30+1,52))</calculatedColumnFormula>
    </tableColumn>
    <tableColumn id="3" name="Date" dataDxfId="1056"/>
    <tableColumn id="4" name="Avancement" dataDxfId="1055"/>
    <tableColumn id="5" name="Commentaires" dataDxfId="1054"/>
  </tableColumns>
  <tableStyleInfo name="TableStyleLight1" showFirstColumn="0" showLastColumn="0" showRowStripes="1" showColumnStripes="0"/>
</table>
</file>

<file path=xl/tables/table119.xml><?xml version="1.0" encoding="utf-8"?>
<table xmlns="http://schemas.openxmlformats.org/spreadsheetml/2006/main" id="32" name="Tableau2571233" displayName="Tableau2571233" ref="C54:F58" totalsRowShown="0" headerRowDxfId="1053" dataDxfId="1051" headerRowBorderDxfId="1052" tableBorderDxfId="1050" totalsRowBorderDxfId="1049">
  <tableColumns count="4">
    <tableColumn id="1" name="réunion" dataDxfId="1048"/>
    <tableColumn id="2" name="date" dataDxfId="1047"/>
    <tableColumn id="4" name=" " dataDxfId="1046"/>
    <tableColumn id="3" name="état" dataDxfId="1045"/>
  </tableColumns>
  <tableStyleInfo name="TableStyleLight1" showFirstColumn="0" showLastColumn="0" showRowStripes="1" showColumnStripes="0"/>
</table>
</file>

<file path=xl/tables/table120.xml><?xml version="1.0" encoding="utf-8"?>
<table xmlns="http://schemas.openxmlformats.org/spreadsheetml/2006/main" id="138" name="Tableau2706139" displayName="Tableau2706139" ref="C7:H25" totalsRowShown="0" headerRowDxfId="974" dataDxfId="972" headerRowBorderDxfId="973" tableBorderDxfId="971" totalsRowBorderDxfId="970">
  <tableColumns count="6">
    <tableColumn id="1" name="Type d'intervention" dataDxfId="969"/>
    <tableColumn id="2" name="Entreprise" dataDxfId="968"/>
    <tableColumn id="12" name="S" dataDxfId="967"/>
    <tableColumn id="3" name="   Date" dataDxfId="966"/>
    <tableColumn id="5" name="Avancement" dataDxfId="965"/>
    <tableColumn id="4" name="Commentaires" dataDxfId="964"/>
  </tableColumns>
  <tableStyleInfo name="TableStyleLight1" showFirstColumn="0" showLastColumn="0" showRowStripes="1" showColumnStripes="0"/>
</table>
</file>

<file path=xl/tables/table121.xml><?xml version="1.0" encoding="utf-8"?>
<table xmlns="http://schemas.openxmlformats.org/spreadsheetml/2006/main" id="139" name="Tableau4707140" displayName="Tableau4707140" ref="C28:H44" totalsRowShown="0" headerRowDxfId="963" dataDxfId="961" headerRowBorderDxfId="962" tableBorderDxfId="960" totalsRowBorderDxfId="959">
  <tableColumns count="6">
    <tableColumn id="1" name="Type d'intervention" dataDxfId="958"/>
    <tableColumn id="2" name="Entreprise" dataDxfId="957"/>
    <tableColumn id="6" name="S" dataDxfId="956">
      <calculatedColumnFormula>IF(E24="","",MOD(E24+1,52))</calculatedColumnFormula>
    </tableColumn>
    <tableColumn id="3" name="Date" dataDxfId="955"/>
    <tableColumn id="4" name="Avancement" dataDxfId="954"/>
    <tableColumn id="5" name="Commentaires" dataDxfId="953"/>
  </tableColumns>
  <tableStyleInfo name="TableStyleLight1" showFirstColumn="0" showLastColumn="0" showRowStripes="1" showColumnStripes="0"/>
</table>
</file>

<file path=xl/tables/table122.xml><?xml version="1.0" encoding="utf-8"?>
<table xmlns="http://schemas.openxmlformats.org/spreadsheetml/2006/main" id="140" name="Tableau5708141" displayName="Tableau5708141" ref="C47:H51" totalsRowShown="0" headerRowDxfId="952" dataDxfId="950" headerRowBorderDxfId="951" tableBorderDxfId="949" totalsRowBorderDxfId="948">
  <tableColumns count="6">
    <tableColumn id="1" name="Type d'intervention" dataDxfId="947"/>
    <tableColumn id="2" name="Entreprise" dataDxfId="946">
      <calculatedColumnFormula>D10</calculatedColumnFormula>
    </tableColumn>
    <tableColumn id="6" name=" " dataDxfId="945">
      <calculatedColumnFormula>IF(E30="","",MOD(E30+1,52))</calculatedColumnFormula>
    </tableColumn>
    <tableColumn id="3" name="Date" dataDxfId="944"/>
    <tableColumn id="4" name="Avancement" dataDxfId="943"/>
    <tableColumn id="5" name="Commentaires" dataDxfId="942"/>
  </tableColumns>
  <tableStyleInfo name="TableStyleLight1" showFirstColumn="0" showLastColumn="0" showRowStripes="1" showColumnStripes="0"/>
</table>
</file>

<file path=xl/tables/table123.xml><?xml version="1.0" encoding="utf-8"?>
<table xmlns="http://schemas.openxmlformats.org/spreadsheetml/2006/main" id="141" name="Tableau25712142" displayName="Tableau25712142" ref="C54:F58" totalsRowShown="0" headerRowDxfId="941" dataDxfId="939" headerRowBorderDxfId="940" tableBorderDxfId="938" totalsRowBorderDxfId="937">
  <tableColumns count="4">
    <tableColumn id="1" name="réunion" dataDxfId="936"/>
    <tableColumn id="2" name="date" dataDxfId="935"/>
    <tableColumn id="4" name=" " dataDxfId="934"/>
    <tableColumn id="3" name="état" dataDxfId="933"/>
  </tableColumns>
  <tableStyleInfo name="TableStyleLight1" showFirstColumn="0" showLastColumn="0" showRowStripes="1" showColumnStripes="0"/>
</table>
</file>

<file path=xl/tables/table124.xml><?xml version="1.0" encoding="utf-8"?>
<table xmlns="http://schemas.openxmlformats.org/spreadsheetml/2006/main" id="45" name="Tableau270646" displayName="Tableau270646" ref="C7:H25" totalsRowShown="0" headerRowDxfId="862" dataDxfId="860" headerRowBorderDxfId="861" tableBorderDxfId="859" totalsRowBorderDxfId="858">
  <tableColumns count="6">
    <tableColumn id="1" name="Type d'intervention" dataDxfId="857"/>
    <tableColumn id="2" name="Entreprise" dataDxfId="856"/>
    <tableColumn id="12" name="S" dataDxfId="855"/>
    <tableColumn id="3" name="   Date" dataDxfId="854"/>
    <tableColumn id="5" name="Avancement" dataDxfId="853"/>
    <tableColumn id="4" name="Commentaires" dataDxfId="852"/>
  </tableColumns>
  <tableStyleInfo name="TableStyleLight1" showFirstColumn="0" showLastColumn="0" showRowStripes="1" showColumnStripes="0"/>
</table>
</file>

<file path=xl/tables/table125.xml><?xml version="1.0" encoding="utf-8"?>
<table xmlns="http://schemas.openxmlformats.org/spreadsheetml/2006/main" id="46" name="Tableau470747" displayName="Tableau470747" ref="C28:H44" totalsRowShown="0" headerRowDxfId="851" dataDxfId="849" headerRowBorderDxfId="850" tableBorderDxfId="848" totalsRowBorderDxfId="847">
  <tableColumns count="6">
    <tableColumn id="1" name="Type d'intervention" dataDxfId="846"/>
    <tableColumn id="2" name="Entreprise" dataDxfId="845"/>
    <tableColumn id="6" name="S" dataDxfId="844">
      <calculatedColumnFormula>IF(E24="","",MOD(E24+1,52))</calculatedColumnFormula>
    </tableColumn>
    <tableColumn id="3" name="Date" dataDxfId="843"/>
    <tableColumn id="4" name="Avancement" dataDxfId="842"/>
    <tableColumn id="5" name="Commentaires" dataDxfId="841"/>
  </tableColumns>
  <tableStyleInfo name="TableStyleLight1" showFirstColumn="0" showLastColumn="0" showRowStripes="1" showColumnStripes="0"/>
</table>
</file>

<file path=xl/tables/table126.xml><?xml version="1.0" encoding="utf-8"?>
<table xmlns="http://schemas.openxmlformats.org/spreadsheetml/2006/main" id="47" name="Tableau570848" displayName="Tableau570848" ref="C47:H51" totalsRowShown="0" headerRowDxfId="840" dataDxfId="838" headerRowBorderDxfId="839" tableBorderDxfId="837" totalsRowBorderDxfId="836">
  <tableColumns count="6">
    <tableColumn id="1" name="Type d'intervention" dataDxfId="835"/>
    <tableColumn id="2" name="Entreprise" dataDxfId="834">
      <calculatedColumnFormula>D10</calculatedColumnFormula>
    </tableColumn>
    <tableColumn id="6" name=" " dataDxfId="833">
      <calculatedColumnFormula>IF(E30="","",MOD(E30+1,52))</calculatedColumnFormula>
    </tableColumn>
    <tableColumn id="3" name="Date" dataDxfId="832"/>
    <tableColumn id="4" name="Avancement" dataDxfId="831"/>
    <tableColumn id="5" name="Commentaires" dataDxfId="830"/>
  </tableColumns>
  <tableStyleInfo name="TableStyleLight1" showFirstColumn="0" showLastColumn="0" showRowStripes="1" showColumnStripes="0"/>
</table>
</file>

<file path=xl/tables/table127.xml><?xml version="1.0" encoding="utf-8"?>
<table xmlns="http://schemas.openxmlformats.org/spreadsheetml/2006/main" id="48" name="Tableau2571249" displayName="Tableau2571249" ref="C54:F58" totalsRowShown="0" headerRowDxfId="829" dataDxfId="827" headerRowBorderDxfId="828" tableBorderDxfId="826" totalsRowBorderDxfId="825">
  <tableColumns count="4">
    <tableColumn id="1" name="réunion" dataDxfId="824"/>
    <tableColumn id="2" name="date" dataDxfId="823"/>
    <tableColumn id="4" name=" " dataDxfId="822"/>
    <tableColumn id="3" name="état" dataDxfId="821"/>
  </tableColumns>
  <tableStyleInfo name="TableStyleLight1" showFirstColumn="0" showLastColumn="0" showRowStripes="1" showColumnStripes="0"/>
</table>
</file>

<file path=xl/tables/table128.xml><?xml version="1.0" encoding="utf-8"?>
<table xmlns="http://schemas.openxmlformats.org/spreadsheetml/2006/main" id="130" name="Tableau2706131" displayName="Tableau2706131" ref="C7:H25" totalsRowShown="0" headerRowDxfId="750" dataDxfId="748" headerRowBorderDxfId="749" tableBorderDxfId="747" totalsRowBorderDxfId="746">
  <tableColumns count="6">
    <tableColumn id="1" name="Type d'intervention" dataDxfId="745"/>
    <tableColumn id="2" name="Entreprise" dataDxfId="744"/>
    <tableColumn id="12" name="S" dataDxfId="743"/>
    <tableColumn id="3" name="   Date" dataDxfId="742"/>
    <tableColumn id="5" name="Avancement" dataDxfId="741"/>
    <tableColumn id="4" name="Commentaires" dataDxfId="740"/>
  </tableColumns>
  <tableStyleInfo name="TableStyleLight1" showFirstColumn="0" showLastColumn="0" showRowStripes="1" showColumnStripes="0"/>
</table>
</file>

<file path=xl/tables/table129.xml><?xml version="1.0" encoding="utf-8"?>
<table xmlns="http://schemas.openxmlformats.org/spreadsheetml/2006/main" id="131" name="Tableau4707132" displayName="Tableau4707132" ref="C28:H44" totalsRowShown="0" headerRowDxfId="739" dataDxfId="737" headerRowBorderDxfId="738" tableBorderDxfId="736" totalsRowBorderDxfId="735">
  <tableColumns count="6">
    <tableColumn id="1" name="Type d'intervention" dataDxfId="734"/>
    <tableColumn id="2" name="Entreprise" dataDxfId="733"/>
    <tableColumn id="6" name="S" dataDxfId="732">
      <calculatedColumnFormula>IF(E24="","",MOD(E24+1,52))</calculatedColumnFormula>
    </tableColumn>
    <tableColumn id="3" name="Date" dataDxfId="731"/>
    <tableColumn id="4" name="Avancement" dataDxfId="730"/>
    <tableColumn id="5" name="Commentaires" dataDxfId="729"/>
  </tableColumns>
  <tableStyleInfo name="TableStyleLight1" showFirstColumn="0" showLastColumn="0" showRowStripes="1" showColumnStripes="0"/>
</table>
</file>

<file path=xl/tables/table130.xml><?xml version="1.0" encoding="utf-8"?>
<table xmlns="http://schemas.openxmlformats.org/spreadsheetml/2006/main" id="132" name="Tableau5708133" displayName="Tableau5708133" ref="C47:H51" totalsRowShown="0" headerRowDxfId="728" dataDxfId="726" headerRowBorderDxfId="727" tableBorderDxfId="725" totalsRowBorderDxfId="724">
  <tableColumns count="6">
    <tableColumn id="1" name="Type d'intervention" dataDxfId="723"/>
    <tableColumn id="2" name="Entreprise" dataDxfId="722">
      <calculatedColumnFormula>D10</calculatedColumnFormula>
    </tableColumn>
    <tableColumn id="6" name=" " dataDxfId="721">
      <calculatedColumnFormula>IF(E30="","",MOD(E30+1,52))</calculatedColumnFormula>
    </tableColumn>
    <tableColumn id="3" name="Date" dataDxfId="720"/>
    <tableColumn id="4" name="Avancement" dataDxfId="719"/>
    <tableColumn id="5" name="Commentaires" dataDxfId="718"/>
  </tableColumns>
  <tableStyleInfo name="TableStyleLight1" showFirstColumn="0" showLastColumn="0" showRowStripes="1" showColumnStripes="0"/>
</table>
</file>

<file path=xl/tables/table131.xml><?xml version="1.0" encoding="utf-8"?>
<table xmlns="http://schemas.openxmlformats.org/spreadsheetml/2006/main" id="133" name="Tableau25712134" displayName="Tableau25712134" ref="C54:F58" totalsRowShown="0" headerRowDxfId="717" dataDxfId="715" headerRowBorderDxfId="716" tableBorderDxfId="714" totalsRowBorderDxfId="713">
  <tableColumns count="4">
    <tableColumn id="1" name="réunion" dataDxfId="712"/>
    <tableColumn id="2" name="date" dataDxfId="711"/>
    <tableColumn id="4" name=" " dataDxfId="710"/>
    <tableColumn id="3" name="état" dataDxfId="709"/>
  </tableColumns>
  <tableStyleInfo name="TableStyleLight1" showFirstColumn="0" showLastColumn="0" showRowStripes="1" showColumnStripes="0"/>
</table>
</file>

<file path=xl/tables/table132.xml><?xml version="1.0" encoding="utf-8"?>
<table xmlns="http://schemas.openxmlformats.org/spreadsheetml/2006/main" id="25" name="Tableau270626" displayName="Tableau270626" ref="C7:H25" totalsRowShown="0" headerRowDxfId="638" dataDxfId="636" headerRowBorderDxfId="637" tableBorderDxfId="635" totalsRowBorderDxfId="634">
  <tableColumns count="6">
    <tableColumn id="1" name="Type d'intervention" dataDxfId="633"/>
    <tableColumn id="2" name="Entreprise" dataDxfId="632"/>
    <tableColumn id="12" name="S" dataDxfId="631"/>
    <tableColumn id="3" name="   Date" dataDxfId="630"/>
    <tableColumn id="5" name="Avancement" dataDxfId="629"/>
    <tableColumn id="4" name="Commentaires" dataDxfId="628"/>
  </tableColumns>
  <tableStyleInfo name="TableStyleLight1" showFirstColumn="0" showLastColumn="0" showRowStripes="1" showColumnStripes="0"/>
</table>
</file>

<file path=xl/tables/table133.xml><?xml version="1.0" encoding="utf-8"?>
<table xmlns="http://schemas.openxmlformats.org/spreadsheetml/2006/main" id="26" name="Tableau470727" displayName="Tableau470727" ref="C28:H44" totalsRowShown="0" headerRowDxfId="627" dataDxfId="625" headerRowBorderDxfId="626" tableBorderDxfId="624" totalsRowBorderDxfId="623">
  <tableColumns count="6">
    <tableColumn id="1" name="Type d'intervention" dataDxfId="622"/>
    <tableColumn id="2" name="Entreprise" dataDxfId="621"/>
    <tableColumn id="6" name="S" dataDxfId="620">
      <calculatedColumnFormula>IF(E24="","",MOD(E24+1,52))</calculatedColumnFormula>
    </tableColumn>
    <tableColumn id="3" name="Date" dataDxfId="619"/>
    <tableColumn id="4" name="Avancement" dataDxfId="618"/>
    <tableColumn id="5" name="Commentaires" dataDxfId="617"/>
  </tableColumns>
  <tableStyleInfo name="TableStyleLight1" showFirstColumn="0" showLastColumn="0" showRowStripes="1" showColumnStripes="0"/>
</table>
</file>

<file path=xl/tables/table134.xml><?xml version="1.0" encoding="utf-8"?>
<table xmlns="http://schemas.openxmlformats.org/spreadsheetml/2006/main" id="27" name="Tableau570828" displayName="Tableau570828" ref="C47:H51" totalsRowShown="0" headerRowDxfId="616" dataDxfId="614" headerRowBorderDxfId="615" tableBorderDxfId="613" totalsRowBorderDxfId="612">
  <tableColumns count="6">
    <tableColumn id="1" name="Type d'intervention" dataDxfId="611"/>
    <tableColumn id="2" name="Entreprise" dataDxfId="610">
      <calculatedColumnFormula>D10</calculatedColumnFormula>
    </tableColumn>
    <tableColumn id="6" name=" " dataDxfId="609">
      <calculatedColumnFormula>IF(E30="","",MOD(E30+1,52))</calculatedColumnFormula>
    </tableColumn>
    <tableColumn id="3" name="Date" dataDxfId="608"/>
    <tableColumn id="4" name="Avancement" dataDxfId="607"/>
    <tableColumn id="5" name="Commentaires" dataDxfId="606"/>
  </tableColumns>
  <tableStyleInfo name="TableStyleLight1" showFirstColumn="0" showLastColumn="0" showRowStripes="1" showColumnStripes="0"/>
</table>
</file>

<file path=xl/tables/table135.xml><?xml version="1.0" encoding="utf-8"?>
<table xmlns="http://schemas.openxmlformats.org/spreadsheetml/2006/main" id="28" name="Tableau2571229" displayName="Tableau2571229" ref="C54:F58" totalsRowShown="0" headerRowDxfId="605" dataDxfId="603" headerRowBorderDxfId="604" tableBorderDxfId="602" totalsRowBorderDxfId="601">
  <tableColumns count="4">
    <tableColumn id="1" name="réunion" dataDxfId="600"/>
    <tableColumn id="2" name="date" dataDxfId="599"/>
    <tableColumn id="4" name=" " dataDxfId="598"/>
    <tableColumn id="3" name="état" dataDxfId="597"/>
  </tableColumns>
  <tableStyleInfo name="TableStyleLight1" showFirstColumn="0" showLastColumn="0" showRowStripes="1" showColumnStripes="0"/>
</table>
</file>

<file path=xl/tables/table136.xml><?xml version="1.0" encoding="utf-8"?>
<table xmlns="http://schemas.openxmlformats.org/spreadsheetml/2006/main" id="99" name="Tableau2706100" displayName="Tableau2706100" ref="C7:H25" totalsRowShown="0" headerRowDxfId="526" dataDxfId="524" headerRowBorderDxfId="525" tableBorderDxfId="523" totalsRowBorderDxfId="522">
  <tableColumns count="6">
    <tableColumn id="1" name="Type d'intervention" dataDxfId="521"/>
    <tableColumn id="2" name="Entreprise" dataDxfId="520"/>
    <tableColumn id="12" name="S" dataDxfId="519"/>
    <tableColumn id="3" name="   Date" dataDxfId="518"/>
    <tableColumn id="5" name="Avancement" dataDxfId="517"/>
    <tableColumn id="4" name="Commentaires" dataDxfId="516"/>
  </tableColumns>
  <tableStyleInfo name="TableStyleLight1" showFirstColumn="0" showLastColumn="0" showRowStripes="1" showColumnStripes="0"/>
</table>
</file>

<file path=xl/tables/table137.xml><?xml version="1.0" encoding="utf-8"?>
<table xmlns="http://schemas.openxmlformats.org/spreadsheetml/2006/main" id="100" name="Tableau4707101" displayName="Tableau4707101" ref="C28:H44" totalsRowShown="0" headerRowDxfId="515" dataDxfId="513" headerRowBorderDxfId="514" tableBorderDxfId="512" totalsRowBorderDxfId="511">
  <tableColumns count="6">
    <tableColumn id="1" name="Type d'intervention" dataDxfId="510"/>
    <tableColumn id="2" name="Entreprise" dataDxfId="509"/>
    <tableColumn id="6" name="S" dataDxfId="508">
      <calculatedColumnFormula>IF(E24="","",MOD(E24+1,52))</calculatedColumnFormula>
    </tableColumn>
    <tableColumn id="3" name="Date" dataDxfId="507"/>
    <tableColumn id="4" name="Avancement" dataDxfId="506"/>
    <tableColumn id="5" name="Commentaires" dataDxfId="505"/>
  </tableColumns>
  <tableStyleInfo name="TableStyleLight1" showFirstColumn="0" showLastColumn="0" showRowStripes="1" showColumnStripes="0"/>
</table>
</file>

<file path=xl/tables/table138.xml><?xml version="1.0" encoding="utf-8"?>
<table xmlns="http://schemas.openxmlformats.org/spreadsheetml/2006/main" id="142" name="Tableau5708143" displayName="Tableau5708143" ref="C47:H51" totalsRowShown="0" headerRowDxfId="504" dataDxfId="502" headerRowBorderDxfId="503" tableBorderDxfId="501" totalsRowBorderDxfId="500">
  <tableColumns count="6">
    <tableColumn id="1" name="Type d'intervention" dataDxfId="499"/>
    <tableColumn id="2" name="Entreprise" dataDxfId="498">
      <calculatedColumnFormula>D10</calculatedColumnFormula>
    </tableColumn>
    <tableColumn id="6" name=" " dataDxfId="497">
      <calculatedColumnFormula>IF(E30="","",MOD(E30+1,52))</calculatedColumnFormula>
    </tableColumn>
    <tableColumn id="3" name="Date" dataDxfId="496"/>
    <tableColumn id="4" name="Avancement" dataDxfId="495"/>
    <tableColumn id="5" name="Commentaires" dataDxfId="494"/>
  </tableColumns>
  <tableStyleInfo name="TableStyleLight1" showFirstColumn="0" showLastColumn="0" showRowStripes="1" showColumnStripes="0"/>
</table>
</file>

<file path=xl/tables/table139.xml><?xml version="1.0" encoding="utf-8"?>
<table xmlns="http://schemas.openxmlformats.org/spreadsheetml/2006/main" id="143" name="Tableau25712144" displayName="Tableau25712144" ref="C54:F58" totalsRowShown="0" headerRowDxfId="493" dataDxfId="491" headerRowBorderDxfId="492" tableBorderDxfId="490" totalsRowBorderDxfId="489">
  <tableColumns count="4">
    <tableColumn id="1" name="réunion" dataDxfId="488"/>
    <tableColumn id="2" name="date" dataDxfId="487"/>
    <tableColumn id="4" name=" " dataDxfId="486"/>
    <tableColumn id="3" name="état" dataDxfId="485"/>
  </tableColumns>
  <tableStyleInfo name="TableStyleLight1" showFirstColumn="0" showLastColumn="0" showRowStripes="1" showColumnStripes="0"/>
</table>
</file>

<file path=xl/tables/table140.xml><?xml version="1.0" encoding="utf-8"?>
<table xmlns="http://schemas.openxmlformats.org/spreadsheetml/2006/main" id="80" name="Tableau270681" displayName="Tableau270681" ref="C7:H25" totalsRowShown="0" headerRowDxfId="414" dataDxfId="412" headerRowBorderDxfId="413" tableBorderDxfId="411" totalsRowBorderDxfId="410">
  <tableColumns count="6">
    <tableColumn id="1" name="Type d'intervention" dataDxfId="409"/>
    <tableColumn id="2" name="Entreprise" dataDxfId="408"/>
    <tableColumn id="12" name="S" dataDxfId="407"/>
    <tableColumn id="3" name="   Date" dataDxfId="406"/>
    <tableColumn id="5" name="Avancement" dataDxfId="405"/>
    <tableColumn id="4" name="Commentaires" dataDxfId="404"/>
  </tableColumns>
  <tableStyleInfo name="TableStyleLight1" showFirstColumn="0" showLastColumn="0" showRowStripes="1" showColumnStripes="0"/>
</table>
</file>

<file path=xl/tables/table141.xml><?xml version="1.0" encoding="utf-8"?>
<table xmlns="http://schemas.openxmlformats.org/spreadsheetml/2006/main" id="82" name="Tableau470783" displayName="Tableau470783" ref="C28:H44" totalsRowShown="0" headerRowDxfId="403" dataDxfId="401" headerRowBorderDxfId="402" tableBorderDxfId="400" totalsRowBorderDxfId="399">
  <tableColumns count="6">
    <tableColumn id="1" name="Type d'intervention" dataDxfId="398"/>
    <tableColumn id="2" name="Entreprise" dataDxfId="397"/>
    <tableColumn id="6" name="S" dataDxfId="396">
      <calculatedColumnFormula>IF(E24="","",MOD(E24+1,52))</calculatedColumnFormula>
    </tableColumn>
    <tableColumn id="3" name="Date" dataDxfId="395"/>
    <tableColumn id="4" name="Avancement" dataDxfId="394"/>
    <tableColumn id="5" name="Commentaires" dataDxfId="393"/>
  </tableColumns>
  <tableStyleInfo name="TableStyleLight1" showFirstColumn="0" showLastColumn="0" showRowStripes="1" showColumnStripes="0"/>
</table>
</file>

<file path=xl/tables/table142.xml><?xml version="1.0" encoding="utf-8"?>
<table xmlns="http://schemas.openxmlformats.org/spreadsheetml/2006/main" id="97" name="Tableau570898" displayName="Tableau570898" ref="C47:H51" totalsRowShown="0" headerRowDxfId="392" dataDxfId="390" headerRowBorderDxfId="391" tableBorderDxfId="389" totalsRowBorderDxfId="388">
  <tableColumns count="6">
    <tableColumn id="1" name="Type d'intervention" dataDxfId="387"/>
    <tableColumn id="2" name="Entreprise" dataDxfId="386">
      <calculatedColumnFormula>D10</calculatedColumnFormula>
    </tableColumn>
    <tableColumn id="6" name=" " dataDxfId="385">
      <calculatedColumnFormula>IF(E30="","",MOD(E30+1,52))</calculatedColumnFormula>
    </tableColumn>
    <tableColumn id="3" name="Date" dataDxfId="384"/>
    <tableColumn id="4" name="Avancement" dataDxfId="383"/>
    <tableColumn id="5" name="Commentaires" dataDxfId="382"/>
  </tableColumns>
  <tableStyleInfo name="TableStyleLight1" showFirstColumn="0" showLastColumn="0" showRowStripes="1" showColumnStripes="0"/>
</table>
</file>

<file path=xl/tables/table143.xml><?xml version="1.0" encoding="utf-8"?>
<table xmlns="http://schemas.openxmlformats.org/spreadsheetml/2006/main" id="98" name="Tableau2571299" displayName="Tableau2571299" ref="C54:F58" totalsRowShown="0" headerRowDxfId="381" dataDxfId="379" headerRowBorderDxfId="380" tableBorderDxfId="378" totalsRowBorderDxfId="377">
  <tableColumns count="4">
    <tableColumn id="1" name="réunion" dataDxfId="376"/>
    <tableColumn id="2" name="date" dataDxfId="375"/>
    <tableColumn id="4" name=" " dataDxfId="374"/>
    <tableColumn id="3" name="état" dataDxfId="373"/>
  </tableColumns>
  <tableStyleInfo name="TableStyleLight1" showFirstColumn="0" showLastColumn="0" showRowStripes="1" showColumnStripes="0"/>
</table>
</file>

<file path=xl/tables/table144.xml><?xml version="1.0" encoding="utf-8"?>
<table xmlns="http://schemas.openxmlformats.org/spreadsheetml/2006/main" id="83" name="Tableau270684" displayName="Tableau270684" ref="C7:H25" totalsRowShown="0" headerRowDxfId="302" dataDxfId="300" headerRowBorderDxfId="301" tableBorderDxfId="299" totalsRowBorderDxfId="298">
  <tableColumns count="6">
    <tableColumn id="1" name="Type d'intervention" dataDxfId="297"/>
    <tableColumn id="2" name="Entreprise" dataDxfId="296"/>
    <tableColumn id="12" name="S" dataDxfId="295"/>
    <tableColumn id="3" name="   Date" dataDxfId="294"/>
    <tableColumn id="5" name="Avancement" dataDxfId="293"/>
    <tableColumn id="4" name="Commentaires" dataDxfId="292"/>
  </tableColumns>
  <tableStyleInfo name="TableStyleLight1" showFirstColumn="0" showLastColumn="0" showRowStripes="1" showColumnStripes="0"/>
</table>
</file>

<file path=xl/tables/table145.xml><?xml version="1.0" encoding="utf-8"?>
<table xmlns="http://schemas.openxmlformats.org/spreadsheetml/2006/main" id="84" name="Tableau470785" displayName="Tableau470785" ref="C28:H44" totalsRowShown="0" headerRowDxfId="291" dataDxfId="289" headerRowBorderDxfId="290" tableBorderDxfId="288" totalsRowBorderDxfId="287">
  <tableColumns count="6">
    <tableColumn id="1" name="Type d'intervention" dataDxfId="286"/>
    <tableColumn id="2" name="Entreprise" dataDxfId="285"/>
    <tableColumn id="6" name="S" dataDxfId="284">
      <calculatedColumnFormula>IF(E24="","",MOD(E24+1,52))</calculatedColumnFormula>
    </tableColumn>
    <tableColumn id="3" name="Date" dataDxfId="283"/>
    <tableColumn id="4" name="Avancement" dataDxfId="282"/>
    <tableColumn id="5" name="Commentaires" dataDxfId="281"/>
  </tableColumns>
  <tableStyleInfo name="TableStyleLight1" showFirstColumn="0" showLastColumn="0" showRowStripes="1" showColumnStripes="0"/>
</table>
</file>

<file path=xl/tables/table146.xml><?xml version="1.0" encoding="utf-8"?>
<table xmlns="http://schemas.openxmlformats.org/spreadsheetml/2006/main" id="85" name="Tableau570886" displayName="Tableau570886" ref="C47:H51" totalsRowShown="0" headerRowDxfId="280" dataDxfId="278" headerRowBorderDxfId="279" tableBorderDxfId="277" totalsRowBorderDxfId="276">
  <tableColumns count="6">
    <tableColumn id="1" name="Type d'intervention" dataDxfId="275"/>
    <tableColumn id="2" name="Entreprise" dataDxfId="274">
      <calculatedColumnFormula>D10</calculatedColumnFormula>
    </tableColumn>
    <tableColumn id="6" name=" " dataDxfId="273">
      <calculatedColumnFormula>IF(E30="","",MOD(E30+1,52))</calculatedColumnFormula>
    </tableColumn>
    <tableColumn id="3" name="Date" dataDxfId="272"/>
    <tableColumn id="4" name="Avancement" dataDxfId="271"/>
    <tableColumn id="5" name="Commentaires" dataDxfId="270"/>
  </tableColumns>
  <tableStyleInfo name="TableStyleLight1" showFirstColumn="0" showLastColumn="0" showRowStripes="1" showColumnStripes="0"/>
</table>
</file>

<file path=xl/tables/table147.xml><?xml version="1.0" encoding="utf-8"?>
<table xmlns="http://schemas.openxmlformats.org/spreadsheetml/2006/main" id="87" name="Tableau2571288" displayName="Tableau2571288" ref="C54:F58" totalsRowShown="0" headerRowDxfId="269" dataDxfId="267" headerRowBorderDxfId="268" tableBorderDxfId="266" totalsRowBorderDxfId="265">
  <tableColumns count="4">
    <tableColumn id="1" name="réunion" dataDxfId="264"/>
    <tableColumn id="2" name="date" dataDxfId="263"/>
    <tableColumn id="4" name=" " dataDxfId="262"/>
    <tableColumn id="3" name="état" dataDxfId="261"/>
  </tableColumns>
  <tableStyleInfo name="TableStyleLight1" showFirstColumn="0" showLastColumn="0" showRowStripes="1" showColumnStripes="0"/>
</table>
</file>

<file path=xl/tables/table148.xml><?xml version="1.0" encoding="utf-8"?>
<table xmlns="http://schemas.openxmlformats.org/spreadsheetml/2006/main" id="73" name="Tableau270674" displayName="Tableau270674" ref="C7:H25" totalsRowShown="0" headerRowDxfId="190" dataDxfId="188" headerRowBorderDxfId="189" tableBorderDxfId="187" totalsRowBorderDxfId="186">
  <tableColumns count="6">
    <tableColumn id="1" name="Type d'intervention" dataDxfId="185"/>
    <tableColumn id="2" name="Entreprise" dataDxfId="184"/>
    <tableColumn id="12" name="S" dataDxfId="183"/>
    <tableColumn id="3" name="   Date" dataDxfId="182"/>
    <tableColumn id="5" name="Avancement" dataDxfId="181"/>
    <tableColumn id="4" name="Commentaires" dataDxfId="180"/>
  </tableColumns>
  <tableStyleInfo name="TableStyleLight1" showFirstColumn="0" showLastColumn="0" showRowStripes="1" showColumnStripes="0"/>
</table>
</file>

<file path=xl/tables/table149.xml><?xml version="1.0" encoding="utf-8"?>
<table xmlns="http://schemas.openxmlformats.org/spreadsheetml/2006/main" id="74" name="Tableau470775" displayName="Tableau470775" ref="C28:H44" totalsRowShown="0" headerRowDxfId="179" dataDxfId="177" headerRowBorderDxfId="178" tableBorderDxfId="176" totalsRowBorderDxfId="175">
  <tableColumns count="6">
    <tableColumn id="1" name="Type d'intervention" dataDxfId="174"/>
    <tableColumn id="2" name="Entreprise" dataDxfId="173"/>
    <tableColumn id="6" name="S" dataDxfId="172">
      <calculatedColumnFormula>IF(E24="","",MOD(E24+1,52))</calculatedColumnFormula>
    </tableColumn>
    <tableColumn id="3" name="Date" dataDxfId="171"/>
    <tableColumn id="4" name="Avancement" dataDxfId="170"/>
    <tableColumn id="5" name="Commentaires" dataDxfId="169"/>
  </tableColumns>
  <tableStyleInfo name="TableStyleLight1" showFirstColumn="0" showLastColumn="0" showRowStripes="1" showColumnStripes="0"/>
</table>
</file>

<file path=xl/tables/table150.xml><?xml version="1.0" encoding="utf-8"?>
<table xmlns="http://schemas.openxmlformats.org/spreadsheetml/2006/main" id="75" name="Tableau570876" displayName="Tableau570876" ref="C47:H51" totalsRowShown="0" headerRowDxfId="168" dataDxfId="166" headerRowBorderDxfId="167" tableBorderDxfId="165" totalsRowBorderDxfId="164">
  <tableColumns count="6">
    <tableColumn id="1" name="Type d'intervention" dataDxfId="163"/>
    <tableColumn id="2" name="Entreprise" dataDxfId="162">
      <calculatedColumnFormula>D10</calculatedColumnFormula>
    </tableColumn>
    <tableColumn id="6" name=" " dataDxfId="161">
      <calculatedColumnFormula>IF(E30="","",MOD(E30+1,52))</calculatedColumnFormula>
    </tableColumn>
    <tableColumn id="3" name="Date" dataDxfId="160"/>
    <tableColumn id="4" name="Avancement" dataDxfId="159"/>
    <tableColumn id="5" name="Commentaires" dataDxfId="158"/>
  </tableColumns>
  <tableStyleInfo name="TableStyleLight1" showFirstColumn="0" showLastColumn="0" showRowStripes="1" showColumnStripes="0"/>
</table>
</file>

<file path=xl/tables/table151.xml><?xml version="1.0" encoding="utf-8"?>
<table xmlns="http://schemas.openxmlformats.org/spreadsheetml/2006/main" id="76" name="Tableau2571277" displayName="Tableau2571277" ref="C54:F58" totalsRowShown="0" headerRowDxfId="157" dataDxfId="155" headerRowBorderDxfId="156" tableBorderDxfId="154" totalsRowBorderDxfId="153">
  <tableColumns count="4">
    <tableColumn id="1" name="réunion" dataDxfId="152"/>
    <tableColumn id="2" name="date" dataDxfId="151"/>
    <tableColumn id="4" name=" " dataDxfId="150"/>
    <tableColumn id="3" name="état" dataDxfId="149"/>
  </tableColumns>
  <tableStyleInfo name="TableStyleLight1" showFirstColumn="0" showLastColumn="0" showRowStripes="1" showColumnStripes="0"/>
</table>
</file>

<file path=xl/tables/table152.xml><?xml version="1.0" encoding="utf-8"?>
<table xmlns="http://schemas.openxmlformats.org/spreadsheetml/2006/main" id="134" name="Tableau2706135" displayName="Tableau2706135" ref="C7:H25" totalsRowShown="0" headerRowDxfId="78" dataDxfId="76" headerRowBorderDxfId="77" tableBorderDxfId="75" totalsRowBorderDxfId="74">
  <tableColumns count="6">
    <tableColumn id="1" name="Type d'intervention" dataDxfId="73"/>
    <tableColumn id="2" name="Entreprise" dataDxfId="72"/>
    <tableColumn id="12" name="S" dataDxfId="71"/>
    <tableColumn id="3" name="   Date" dataDxfId="70"/>
    <tableColumn id="5" name="Avancement" dataDxfId="69"/>
    <tableColumn id="4" name="Commentaires" dataDxfId="68"/>
  </tableColumns>
  <tableStyleInfo name="TableStyleLight1" showFirstColumn="0" showLastColumn="0" showRowStripes="1" showColumnStripes="0"/>
</table>
</file>

<file path=xl/tables/table153.xml><?xml version="1.0" encoding="utf-8"?>
<table xmlns="http://schemas.openxmlformats.org/spreadsheetml/2006/main" id="135" name="Tableau4707136" displayName="Tableau4707136" ref="C28:H44" totalsRowShown="0" headerRowDxfId="67" dataDxfId="65" headerRowBorderDxfId="66" tableBorderDxfId="64" totalsRowBorderDxfId="63">
  <tableColumns count="6">
    <tableColumn id="1" name="Type d'intervention" dataDxfId="62"/>
    <tableColumn id="2" name="Entreprise" dataDxfId="61"/>
    <tableColumn id="6" name="S" dataDxfId="60">
      <calculatedColumnFormula>IF(E24="","",MOD(E24+1,52))</calculatedColumnFormula>
    </tableColumn>
    <tableColumn id="3" name="Date" dataDxfId="59"/>
    <tableColumn id="4" name="Avancement" dataDxfId="58"/>
    <tableColumn id="5" name="Commentaires" dataDxfId="57"/>
  </tableColumns>
  <tableStyleInfo name="TableStyleLight1" showFirstColumn="0" showLastColumn="0" showRowStripes="1" showColumnStripes="0"/>
</table>
</file>

<file path=xl/tables/table154.xml><?xml version="1.0" encoding="utf-8"?>
<table xmlns="http://schemas.openxmlformats.org/spreadsheetml/2006/main" id="136" name="Tableau5708137" displayName="Tableau5708137" ref="C47:H51" totalsRowShown="0" headerRowDxfId="56" dataDxfId="54" headerRowBorderDxfId="55" tableBorderDxfId="53" totalsRowBorderDxfId="52">
  <tableColumns count="6">
    <tableColumn id="1" name="Type d'intervention" dataDxfId="51"/>
    <tableColumn id="2" name="Entreprise" dataDxfId="50">
      <calculatedColumnFormula>D10</calculatedColumnFormula>
    </tableColumn>
    <tableColumn id="6" name=" " dataDxfId="49">
      <calculatedColumnFormula>IF(E30="","",MOD(E30+1,52))</calculatedColumnFormula>
    </tableColumn>
    <tableColumn id="3" name="Date" dataDxfId="48"/>
    <tableColumn id="4" name="Avancement" dataDxfId="47"/>
    <tableColumn id="5" name="Commentaires" dataDxfId="46"/>
  </tableColumns>
  <tableStyleInfo name="TableStyleLight1" showFirstColumn="0" showLastColumn="0" showRowStripes="1" showColumnStripes="0"/>
</table>
</file>

<file path=xl/tables/table155.xml><?xml version="1.0" encoding="utf-8"?>
<table xmlns="http://schemas.openxmlformats.org/spreadsheetml/2006/main" id="137" name="Tableau25712138" displayName="Tableau25712138" ref="C54:F58" totalsRowShown="0" headerRowDxfId="45" dataDxfId="43" headerRowBorderDxfId="44" tableBorderDxfId="42" totalsRowBorderDxfId="41">
  <tableColumns count="4">
    <tableColumn id="1" name="réunion" dataDxfId="40"/>
    <tableColumn id="2" name="date" dataDxfId="39"/>
    <tableColumn id="4" name=" " dataDxfId="38"/>
    <tableColumn id="3" name="état" dataDxfId="37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7.xml"/><Relationship Id="rId18" Type="http://schemas.openxmlformats.org/officeDocument/2006/relationships/ctrlProp" Target="../ctrlProps/ctrlProp12.xml"/><Relationship Id="rId26" Type="http://schemas.openxmlformats.org/officeDocument/2006/relationships/ctrlProp" Target="../ctrlProps/ctrlProp20.xml"/><Relationship Id="rId39" Type="http://schemas.openxmlformats.org/officeDocument/2006/relationships/ctrlProp" Target="../ctrlProps/ctrlProp33.xml"/><Relationship Id="rId21" Type="http://schemas.openxmlformats.org/officeDocument/2006/relationships/ctrlProp" Target="../ctrlProps/ctrlProp15.xml"/><Relationship Id="rId34" Type="http://schemas.openxmlformats.org/officeDocument/2006/relationships/ctrlProp" Target="../ctrlProps/ctrlProp28.xml"/><Relationship Id="rId42" Type="http://schemas.openxmlformats.org/officeDocument/2006/relationships/table" Target="../tables/table7.xml"/><Relationship Id="rId47" Type="http://schemas.openxmlformats.org/officeDocument/2006/relationships/table" Target="../tables/table12.xml"/><Relationship Id="rId50" Type="http://schemas.openxmlformats.org/officeDocument/2006/relationships/table" Target="../tables/table15.xml"/><Relationship Id="rId55" Type="http://schemas.openxmlformats.org/officeDocument/2006/relationships/table" Target="../tables/table20.xml"/><Relationship Id="rId63" Type="http://schemas.openxmlformats.org/officeDocument/2006/relationships/table" Target="../tables/table28.xml"/><Relationship Id="rId68" Type="http://schemas.openxmlformats.org/officeDocument/2006/relationships/table" Target="../tables/table33.xml"/><Relationship Id="rId7" Type="http://schemas.openxmlformats.org/officeDocument/2006/relationships/ctrlProp" Target="../ctrlProps/ctrlProp1.xml"/><Relationship Id="rId2" Type="http://schemas.openxmlformats.org/officeDocument/2006/relationships/hyperlink" Target="mailto:contact@sarlnordisolation.fr" TargetMode="External"/><Relationship Id="rId16" Type="http://schemas.openxmlformats.org/officeDocument/2006/relationships/ctrlProp" Target="../ctrlProps/ctrlProp10.xml"/><Relationship Id="rId29" Type="http://schemas.openxmlformats.org/officeDocument/2006/relationships/ctrlProp" Target="../ctrlProps/ctrlProp23.xml"/><Relationship Id="rId1" Type="http://schemas.openxmlformats.org/officeDocument/2006/relationships/hyperlink" Target="mailto:kovacic.pose@orange.fr" TargetMode="External"/><Relationship Id="rId6" Type="http://schemas.openxmlformats.org/officeDocument/2006/relationships/vmlDrawing" Target="../drawings/vmlDrawing1.vml"/><Relationship Id="rId11" Type="http://schemas.openxmlformats.org/officeDocument/2006/relationships/ctrlProp" Target="../ctrlProps/ctrlProp5.xml"/><Relationship Id="rId24" Type="http://schemas.openxmlformats.org/officeDocument/2006/relationships/ctrlProp" Target="../ctrlProps/ctrlProp18.xml"/><Relationship Id="rId32" Type="http://schemas.openxmlformats.org/officeDocument/2006/relationships/ctrlProp" Target="../ctrlProps/ctrlProp26.xml"/><Relationship Id="rId37" Type="http://schemas.openxmlformats.org/officeDocument/2006/relationships/ctrlProp" Target="../ctrlProps/ctrlProp31.xml"/><Relationship Id="rId40" Type="http://schemas.openxmlformats.org/officeDocument/2006/relationships/table" Target="../tables/table5.xml"/><Relationship Id="rId45" Type="http://schemas.openxmlformats.org/officeDocument/2006/relationships/table" Target="../tables/table10.xml"/><Relationship Id="rId53" Type="http://schemas.openxmlformats.org/officeDocument/2006/relationships/table" Target="../tables/table18.xml"/><Relationship Id="rId58" Type="http://schemas.openxmlformats.org/officeDocument/2006/relationships/table" Target="../tables/table23.xml"/><Relationship Id="rId66" Type="http://schemas.openxmlformats.org/officeDocument/2006/relationships/table" Target="../tables/table31.xml"/><Relationship Id="rId5" Type="http://schemas.openxmlformats.org/officeDocument/2006/relationships/drawing" Target="../drawings/drawing2.xml"/><Relationship Id="rId15" Type="http://schemas.openxmlformats.org/officeDocument/2006/relationships/ctrlProp" Target="../ctrlProps/ctrlProp9.xml"/><Relationship Id="rId23" Type="http://schemas.openxmlformats.org/officeDocument/2006/relationships/ctrlProp" Target="../ctrlProps/ctrlProp17.xml"/><Relationship Id="rId28" Type="http://schemas.openxmlformats.org/officeDocument/2006/relationships/ctrlProp" Target="../ctrlProps/ctrlProp22.xml"/><Relationship Id="rId36" Type="http://schemas.openxmlformats.org/officeDocument/2006/relationships/ctrlProp" Target="../ctrlProps/ctrlProp30.xml"/><Relationship Id="rId49" Type="http://schemas.openxmlformats.org/officeDocument/2006/relationships/table" Target="../tables/table14.xml"/><Relationship Id="rId57" Type="http://schemas.openxmlformats.org/officeDocument/2006/relationships/table" Target="../tables/table22.xml"/><Relationship Id="rId61" Type="http://schemas.openxmlformats.org/officeDocument/2006/relationships/table" Target="../tables/table26.xml"/><Relationship Id="rId10" Type="http://schemas.openxmlformats.org/officeDocument/2006/relationships/ctrlProp" Target="../ctrlProps/ctrlProp4.xml"/><Relationship Id="rId19" Type="http://schemas.openxmlformats.org/officeDocument/2006/relationships/ctrlProp" Target="../ctrlProps/ctrlProp13.xml"/><Relationship Id="rId31" Type="http://schemas.openxmlformats.org/officeDocument/2006/relationships/ctrlProp" Target="../ctrlProps/ctrlProp25.xml"/><Relationship Id="rId44" Type="http://schemas.openxmlformats.org/officeDocument/2006/relationships/table" Target="../tables/table9.xml"/><Relationship Id="rId52" Type="http://schemas.openxmlformats.org/officeDocument/2006/relationships/table" Target="../tables/table17.xml"/><Relationship Id="rId60" Type="http://schemas.openxmlformats.org/officeDocument/2006/relationships/table" Target="../tables/table25.xml"/><Relationship Id="rId65" Type="http://schemas.openxmlformats.org/officeDocument/2006/relationships/table" Target="../tables/table30.xml"/><Relationship Id="rId4" Type="http://schemas.openxmlformats.org/officeDocument/2006/relationships/printerSettings" Target="../printerSettings/printerSettings2.bin"/><Relationship Id="rId9" Type="http://schemas.openxmlformats.org/officeDocument/2006/relationships/ctrlProp" Target="../ctrlProps/ctrlProp3.xml"/><Relationship Id="rId14" Type="http://schemas.openxmlformats.org/officeDocument/2006/relationships/ctrlProp" Target="../ctrlProps/ctrlProp8.xml"/><Relationship Id="rId22" Type="http://schemas.openxmlformats.org/officeDocument/2006/relationships/ctrlProp" Target="../ctrlProps/ctrlProp16.xml"/><Relationship Id="rId27" Type="http://schemas.openxmlformats.org/officeDocument/2006/relationships/ctrlProp" Target="../ctrlProps/ctrlProp21.xml"/><Relationship Id="rId30" Type="http://schemas.openxmlformats.org/officeDocument/2006/relationships/ctrlProp" Target="../ctrlProps/ctrlProp24.xml"/><Relationship Id="rId35" Type="http://schemas.openxmlformats.org/officeDocument/2006/relationships/ctrlProp" Target="../ctrlProps/ctrlProp29.xml"/><Relationship Id="rId43" Type="http://schemas.openxmlformats.org/officeDocument/2006/relationships/table" Target="../tables/table8.xml"/><Relationship Id="rId48" Type="http://schemas.openxmlformats.org/officeDocument/2006/relationships/table" Target="../tables/table13.xml"/><Relationship Id="rId56" Type="http://schemas.openxmlformats.org/officeDocument/2006/relationships/table" Target="../tables/table21.xml"/><Relationship Id="rId64" Type="http://schemas.openxmlformats.org/officeDocument/2006/relationships/table" Target="../tables/table29.xml"/><Relationship Id="rId69" Type="http://schemas.openxmlformats.org/officeDocument/2006/relationships/table" Target="../tables/table34.xml"/><Relationship Id="rId8" Type="http://schemas.openxmlformats.org/officeDocument/2006/relationships/ctrlProp" Target="../ctrlProps/ctrlProp2.xml"/><Relationship Id="rId51" Type="http://schemas.openxmlformats.org/officeDocument/2006/relationships/table" Target="../tables/table16.xml"/><Relationship Id="rId3" Type="http://schemas.openxmlformats.org/officeDocument/2006/relationships/hyperlink" Target="mailto:sarl-batitout-67@laposte.net" TargetMode="External"/><Relationship Id="rId12" Type="http://schemas.openxmlformats.org/officeDocument/2006/relationships/ctrlProp" Target="../ctrlProps/ctrlProp6.xml"/><Relationship Id="rId17" Type="http://schemas.openxmlformats.org/officeDocument/2006/relationships/ctrlProp" Target="../ctrlProps/ctrlProp11.xml"/><Relationship Id="rId25" Type="http://schemas.openxmlformats.org/officeDocument/2006/relationships/ctrlProp" Target="../ctrlProps/ctrlProp19.xml"/><Relationship Id="rId33" Type="http://schemas.openxmlformats.org/officeDocument/2006/relationships/ctrlProp" Target="../ctrlProps/ctrlProp27.xml"/><Relationship Id="rId38" Type="http://schemas.openxmlformats.org/officeDocument/2006/relationships/ctrlProp" Target="../ctrlProps/ctrlProp32.xml"/><Relationship Id="rId46" Type="http://schemas.openxmlformats.org/officeDocument/2006/relationships/table" Target="../tables/table11.xml"/><Relationship Id="rId59" Type="http://schemas.openxmlformats.org/officeDocument/2006/relationships/table" Target="../tables/table24.xml"/><Relationship Id="rId67" Type="http://schemas.openxmlformats.org/officeDocument/2006/relationships/table" Target="../tables/table32.xml"/><Relationship Id="rId20" Type="http://schemas.openxmlformats.org/officeDocument/2006/relationships/ctrlProp" Target="../ctrlProps/ctrlProp14.xml"/><Relationship Id="rId41" Type="http://schemas.openxmlformats.org/officeDocument/2006/relationships/table" Target="../tables/table6.xml"/><Relationship Id="rId54" Type="http://schemas.openxmlformats.org/officeDocument/2006/relationships/table" Target="../tables/table19.xml"/><Relationship Id="rId62" Type="http://schemas.openxmlformats.org/officeDocument/2006/relationships/table" Target="../tables/table27.xml"/><Relationship Id="rId70" Type="http://schemas.openxmlformats.org/officeDocument/2006/relationships/table" Target="../tables/table3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6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39.xml"/><Relationship Id="rId5" Type="http://schemas.openxmlformats.org/officeDocument/2006/relationships/table" Target="../tables/table38.xml"/><Relationship Id="rId4" Type="http://schemas.openxmlformats.org/officeDocument/2006/relationships/table" Target="../tables/table3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0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43.xml"/><Relationship Id="rId5" Type="http://schemas.openxmlformats.org/officeDocument/2006/relationships/table" Target="../tables/table42.xml"/><Relationship Id="rId4" Type="http://schemas.openxmlformats.org/officeDocument/2006/relationships/table" Target="../tables/table4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47.xml"/><Relationship Id="rId5" Type="http://schemas.openxmlformats.org/officeDocument/2006/relationships/table" Target="../tables/table46.xml"/><Relationship Id="rId4" Type="http://schemas.openxmlformats.org/officeDocument/2006/relationships/table" Target="../tables/table4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8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51.xml"/><Relationship Id="rId5" Type="http://schemas.openxmlformats.org/officeDocument/2006/relationships/table" Target="../tables/table50.xml"/><Relationship Id="rId4" Type="http://schemas.openxmlformats.org/officeDocument/2006/relationships/table" Target="../tables/table49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2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table" Target="../tables/table55.xml"/><Relationship Id="rId5" Type="http://schemas.openxmlformats.org/officeDocument/2006/relationships/table" Target="../tables/table54.xml"/><Relationship Id="rId4" Type="http://schemas.openxmlformats.org/officeDocument/2006/relationships/table" Target="../tables/table53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6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table" Target="../tables/table59.xml"/><Relationship Id="rId5" Type="http://schemas.openxmlformats.org/officeDocument/2006/relationships/table" Target="../tables/table58.xml"/><Relationship Id="rId4" Type="http://schemas.openxmlformats.org/officeDocument/2006/relationships/table" Target="../tables/table5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0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6" Type="http://schemas.openxmlformats.org/officeDocument/2006/relationships/table" Target="../tables/table63.xml"/><Relationship Id="rId5" Type="http://schemas.openxmlformats.org/officeDocument/2006/relationships/table" Target="../tables/table62.xml"/><Relationship Id="rId4" Type="http://schemas.openxmlformats.org/officeDocument/2006/relationships/table" Target="../tables/table61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4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6" Type="http://schemas.openxmlformats.org/officeDocument/2006/relationships/table" Target="../tables/table67.xml"/><Relationship Id="rId5" Type="http://schemas.openxmlformats.org/officeDocument/2006/relationships/table" Target="../tables/table66.xml"/><Relationship Id="rId4" Type="http://schemas.openxmlformats.org/officeDocument/2006/relationships/table" Target="../tables/table65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8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6" Type="http://schemas.openxmlformats.org/officeDocument/2006/relationships/table" Target="../tables/table71.xml"/><Relationship Id="rId5" Type="http://schemas.openxmlformats.org/officeDocument/2006/relationships/table" Target="../tables/table70.xml"/><Relationship Id="rId4" Type="http://schemas.openxmlformats.org/officeDocument/2006/relationships/table" Target="../tables/table6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2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6" Type="http://schemas.openxmlformats.org/officeDocument/2006/relationships/table" Target="../tables/table75.xml"/><Relationship Id="rId5" Type="http://schemas.openxmlformats.org/officeDocument/2006/relationships/table" Target="../tables/table74.xml"/><Relationship Id="rId4" Type="http://schemas.openxmlformats.org/officeDocument/2006/relationships/table" Target="../tables/table73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6.x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6" Type="http://schemas.openxmlformats.org/officeDocument/2006/relationships/table" Target="../tables/table79.xml"/><Relationship Id="rId5" Type="http://schemas.openxmlformats.org/officeDocument/2006/relationships/table" Target="../tables/table78.xml"/><Relationship Id="rId4" Type="http://schemas.openxmlformats.org/officeDocument/2006/relationships/table" Target="../tables/table77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0.x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6" Type="http://schemas.openxmlformats.org/officeDocument/2006/relationships/table" Target="../tables/table83.xml"/><Relationship Id="rId5" Type="http://schemas.openxmlformats.org/officeDocument/2006/relationships/table" Target="../tables/table82.xml"/><Relationship Id="rId4" Type="http://schemas.openxmlformats.org/officeDocument/2006/relationships/table" Target="../tables/table81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4.x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Relationship Id="rId6" Type="http://schemas.openxmlformats.org/officeDocument/2006/relationships/table" Target="../tables/table87.xml"/><Relationship Id="rId5" Type="http://schemas.openxmlformats.org/officeDocument/2006/relationships/table" Target="../tables/table86.xml"/><Relationship Id="rId4" Type="http://schemas.openxmlformats.org/officeDocument/2006/relationships/table" Target="../tables/table85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8.x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Relationship Id="rId6" Type="http://schemas.openxmlformats.org/officeDocument/2006/relationships/table" Target="../tables/table91.xml"/><Relationship Id="rId5" Type="http://schemas.openxmlformats.org/officeDocument/2006/relationships/table" Target="../tables/table90.xml"/><Relationship Id="rId4" Type="http://schemas.openxmlformats.org/officeDocument/2006/relationships/table" Target="../tables/table89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2.x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Relationship Id="rId6" Type="http://schemas.openxmlformats.org/officeDocument/2006/relationships/table" Target="../tables/table95.xml"/><Relationship Id="rId5" Type="http://schemas.openxmlformats.org/officeDocument/2006/relationships/table" Target="../tables/table94.xml"/><Relationship Id="rId4" Type="http://schemas.openxmlformats.org/officeDocument/2006/relationships/table" Target="../tables/table93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6.x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Relationship Id="rId6" Type="http://schemas.openxmlformats.org/officeDocument/2006/relationships/table" Target="../tables/table99.xml"/><Relationship Id="rId5" Type="http://schemas.openxmlformats.org/officeDocument/2006/relationships/table" Target="../tables/table98.xml"/><Relationship Id="rId4" Type="http://schemas.openxmlformats.org/officeDocument/2006/relationships/table" Target="../tables/table97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0.x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Relationship Id="rId6" Type="http://schemas.openxmlformats.org/officeDocument/2006/relationships/table" Target="../tables/table103.xml"/><Relationship Id="rId5" Type="http://schemas.openxmlformats.org/officeDocument/2006/relationships/table" Target="../tables/table102.xml"/><Relationship Id="rId4" Type="http://schemas.openxmlformats.org/officeDocument/2006/relationships/table" Target="../tables/table101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4.x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Relationship Id="rId6" Type="http://schemas.openxmlformats.org/officeDocument/2006/relationships/table" Target="../tables/table107.xml"/><Relationship Id="rId5" Type="http://schemas.openxmlformats.org/officeDocument/2006/relationships/table" Target="../tables/table106.xml"/><Relationship Id="rId4" Type="http://schemas.openxmlformats.org/officeDocument/2006/relationships/table" Target="../tables/table105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8.x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Relationship Id="rId6" Type="http://schemas.openxmlformats.org/officeDocument/2006/relationships/table" Target="../tables/table111.xml"/><Relationship Id="rId5" Type="http://schemas.openxmlformats.org/officeDocument/2006/relationships/table" Target="../tables/table110.xml"/><Relationship Id="rId4" Type="http://schemas.openxmlformats.org/officeDocument/2006/relationships/table" Target="../tables/table109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2.x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Relationship Id="rId6" Type="http://schemas.openxmlformats.org/officeDocument/2006/relationships/table" Target="../tables/table115.xml"/><Relationship Id="rId5" Type="http://schemas.openxmlformats.org/officeDocument/2006/relationships/table" Target="../tables/table114.xml"/><Relationship Id="rId4" Type="http://schemas.openxmlformats.org/officeDocument/2006/relationships/table" Target="../tables/table113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6.x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Relationship Id="rId6" Type="http://schemas.openxmlformats.org/officeDocument/2006/relationships/table" Target="../tables/table119.xml"/><Relationship Id="rId5" Type="http://schemas.openxmlformats.org/officeDocument/2006/relationships/table" Target="../tables/table118.xml"/><Relationship Id="rId4" Type="http://schemas.openxmlformats.org/officeDocument/2006/relationships/table" Target="../tables/table117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0.xml"/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Relationship Id="rId6" Type="http://schemas.openxmlformats.org/officeDocument/2006/relationships/table" Target="../tables/table123.xml"/><Relationship Id="rId5" Type="http://schemas.openxmlformats.org/officeDocument/2006/relationships/table" Target="../tables/table122.xml"/><Relationship Id="rId4" Type="http://schemas.openxmlformats.org/officeDocument/2006/relationships/table" Target="../tables/table121.xm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4.xml"/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Relationship Id="rId6" Type="http://schemas.openxmlformats.org/officeDocument/2006/relationships/table" Target="../tables/table127.xml"/><Relationship Id="rId5" Type="http://schemas.openxmlformats.org/officeDocument/2006/relationships/table" Target="../tables/table126.xml"/><Relationship Id="rId4" Type="http://schemas.openxmlformats.org/officeDocument/2006/relationships/table" Target="../tables/table125.xm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8.xml"/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Relationship Id="rId6" Type="http://schemas.openxmlformats.org/officeDocument/2006/relationships/table" Target="../tables/table131.xml"/><Relationship Id="rId5" Type="http://schemas.openxmlformats.org/officeDocument/2006/relationships/table" Target="../tables/table130.xml"/><Relationship Id="rId4" Type="http://schemas.openxmlformats.org/officeDocument/2006/relationships/table" Target="../tables/table129.xm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32.xml"/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Relationship Id="rId6" Type="http://schemas.openxmlformats.org/officeDocument/2006/relationships/table" Target="../tables/table135.xml"/><Relationship Id="rId5" Type="http://schemas.openxmlformats.org/officeDocument/2006/relationships/table" Target="../tables/table134.xml"/><Relationship Id="rId4" Type="http://schemas.openxmlformats.org/officeDocument/2006/relationships/table" Target="../tables/table133.xml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36.xml"/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Relationship Id="rId6" Type="http://schemas.openxmlformats.org/officeDocument/2006/relationships/table" Target="../tables/table139.xml"/><Relationship Id="rId5" Type="http://schemas.openxmlformats.org/officeDocument/2006/relationships/table" Target="../tables/table138.xml"/><Relationship Id="rId4" Type="http://schemas.openxmlformats.org/officeDocument/2006/relationships/table" Target="../tables/table137.xml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40.xml"/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Relationship Id="rId6" Type="http://schemas.openxmlformats.org/officeDocument/2006/relationships/table" Target="../tables/table143.xml"/><Relationship Id="rId5" Type="http://schemas.openxmlformats.org/officeDocument/2006/relationships/table" Target="../tables/table142.xml"/><Relationship Id="rId4" Type="http://schemas.openxmlformats.org/officeDocument/2006/relationships/table" Target="../tables/table141.xml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44.xml"/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Relationship Id="rId6" Type="http://schemas.openxmlformats.org/officeDocument/2006/relationships/table" Target="../tables/table147.xml"/><Relationship Id="rId5" Type="http://schemas.openxmlformats.org/officeDocument/2006/relationships/table" Target="../tables/table146.xml"/><Relationship Id="rId4" Type="http://schemas.openxmlformats.org/officeDocument/2006/relationships/table" Target="../tables/table145.xml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48.xml"/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Relationship Id="rId6" Type="http://schemas.openxmlformats.org/officeDocument/2006/relationships/table" Target="../tables/table151.xml"/><Relationship Id="rId5" Type="http://schemas.openxmlformats.org/officeDocument/2006/relationships/table" Target="../tables/table150.xml"/><Relationship Id="rId4" Type="http://schemas.openxmlformats.org/officeDocument/2006/relationships/table" Target="../tables/table149.xml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52.xml"/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Relationship Id="rId6" Type="http://schemas.openxmlformats.org/officeDocument/2006/relationships/table" Target="../tables/table155.xml"/><Relationship Id="rId5" Type="http://schemas.openxmlformats.org/officeDocument/2006/relationships/table" Target="../tables/table154.xml"/><Relationship Id="rId4" Type="http://schemas.openxmlformats.org/officeDocument/2006/relationships/table" Target="../tables/table153.xml"/></Relationships>
</file>

<file path=xl/worksheets/_rels/sheet33.xml.rels><?xml version="1.0" encoding="UTF-8" standalone="yes"?>
<Relationships xmlns="http://schemas.openxmlformats.org/package/2006/relationships"><Relationship Id="rId8" Type="http://schemas.openxmlformats.org/officeDocument/2006/relationships/hyperlink" Target="mailto:charpente.gabel@wanadoo.fr" TargetMode="External"/><Relationship Id="rId13" Type="http://schemas.openxmlformats.org/officeDocument/2006/relationships/hyperlink" Target="mailto:murielle.graff@hilzinger.fr" TargetMode="External"/><Relationship Id="rId18" Type="http://schemas.openxmlformats.org/officeDocument/2006/relationships/hyperlink" Target="mailto:owurth@soprema.fr" TargetMode="External"/><Relationship Id="rId26" Type="http://schemas.openxmlformats.org/officeDocument/2006/relationships/hyperlink" Target="mailto:meyer.energies67@gmail.com" TargetMode="External"/><Relationship Id="rId39" Type="http://schemas.openxmlformats.org/officeDocument/2006/relationships/hyperlink" Target="mailto:muriel.p@fm-s.eu" TargetMode="External"/><Relationship Id="rId3" Type="http://schemas.openxmlformats.org/officeDocument/2006/relationships/hyperlink" Target="mailto:ch.bayard@wanadoo.fr" TargetMode="External"/><Relationship Id="rId21" Type="http://schemas.openxmlformats.org/officeDocument/2006/relationships/hyperlink" Target="mailto:vincent-padowicz@beral.fr" TargetMode="External"/><Relationship Id="rId34" Type="http://schemas.openxmlformats.org/officeDocument/2006/relationships/hyperlink" Target="mailto:sa3batiment@gmail.com" TargetMode="External"/><Relationship Id="rId42" Type="http://schemas.openxmlformats.org/officeDocument/2006/relationships/hyperlink" Target="mailto:contact@pk-concept.fr" TargetMode="External"/><Relationship Id="rId7" Type="http://schemas.openxmlformats.org/officeDocument/2006/relationships/hyperlink" Target="mailto:carrelagedelest@hotmail.fr" TargetMode="External"/><Relationship Id="rId12" Type="http://schemas.openxmlformats.org/officeDocument/2006/relationships/hyperlink" Target="mailto:didier.hertfelder@wanadoo.fr" TargetMode="External"/><Relationship Id="rId17" Type="http://schemas.openxmlformats.org/officeDocument/2006/relationships/hyperlink" Target="mailto:carlos.soares74@sfr.fr" TargetMode="External"/><Relationship Id="rId25" Type="http://schemas.openxmlformats.org/officeDocument/2006/relationships/hyperlink" Target="mailto:entr.neumeyer@orange.fr" TargetMode="External"/><Relationship Id="rId33" Type="http://schemas.openxmlformats.org/officeDocument/2006/relationships/hyperlink" Target="mailto:rodolphe@euroechafaudage.fr" TargetMode="External"/><Relationship Id="rId38" Type="http://schemas.openxmlformats.org/officeDocument/2006/relationships/hyperlink" Target="mailto:commercial.tp@danacisarl.com" TargetMode="External"/><Relationship Id="rId2" Type="http://schemas.openxmlformats.org/officeDocument/2006/relationships/hyperlink" Target="mailto:aucoindufeualsace@orange.fr" TargetMode="External"/><Relationship Id="rId16" Type="http://schemas.openxmlformats.org/officeDocument/2006/relationships/hyperlink" Target="mailto:ottquentin67@gmail.com" TargetMode="External"/><Relationship Id="rId20" Type="http://schemas.openxmlformats.org/officeDocument/2006/relationships/hyperlink" Target="mailto:tema67100@hotmail.fr" TargetMode="External"/><Relationship Id="rId29" Type="http://schemas.openxmlformats.org/officeDocument/2006/relationships/hyperlink" Target="mailto:caroline@otec-iden.com" TargetMode="External"/><Relationship Id="rId41" Type="http://schemas.openxmlformats.org/officeDocument/2006/relationships/hyperlink" Target="mailto:Eurchristel@euroechafaudage.fr" TargetMode="External"/><Relationship Id="rId1" Type="http://schemas.openxmlformats.org/officeDocument/2006/relationships/hyperlink" Target="mailto:abc.aktas@gmail.com" TargetMode="External"/><Relationship Id="rId6" Type="http://schemas.openxmlformats.org/officeDocument/2006/relationships/hyperlink" Target="mailto:benelec@orange.fr" TargetMode="External"/><Relationship Id="rId11" Type="http://schemas.openxmlformats.org/officeDocument/2006/relationships/hyperlink" Target="mailto:eko63@hotmail.fr" TargetMode="External"/><Relationship Id="rId24" Type="http://schemas.openxmlformats.org/officeDocument/2006/relationships/hyperlink" Target="mailto:borgerdecoration@yahoo.fr" TargetMode="External"/><Relationship Id="rId32" Type="http://schemas.openxmlformats.org/officeDocument/2006/relationships/hyperlink" Target="mailto:gsistel@soprema.fr" TargetMode="External"/><Relationship Id="rId37" Type="http://schemas.openxmlformats.org/officeDocument/2006/relationships/hyperlink" Target="mailto:sarl-batitout-67@laposte,net" TargetMode="External"/><Relationship Id="rId40" Type="http://schemas.openxmlformats.org/officeDocument/2006/relationships/hyperlink" Target="mailto:habitatdelorangerie@free.fr" TargetMode="External"/><Relationship Id="rId5" Type="http://schemas.openxmlformats.org/officeDocument/2006/relationships/hyperlink" Target="mailto:contact@beckchape.fr" TargetMode="External"/><Relationship Id="rId15" Type="http://schemas.openxmlformats.org/officeDocument/2006/relationships/hyperlink" Target="mailto:kovacic.contact@orange.fr" TargetMode="External"/><Relationship Id="rId23" Type="http://schemas.openxmlformats.org/officeDocument/2006/relationships/hyperlink" Target="mailto:sobatra2@wanadoo.fr" TargetMode="External"/><Relationship Id="rId28" Type="http://schemas.openxmlformats.org/officeDocument/2006/relationships/hyperlink" Target="mailto:gilles@otec-iden.com" TargetMode="External"/><Relationship Id="rId36" Type="http://schemas.openxmlformats.org/officeDocument/2006/relationships/hyperlink" Target="mailto:info@beral.fr" TargetMode="External"/><Relationship Id="rId10" Type="http://schemas.openxmlformats.org/officeDocument/2006/relationships/hyperlink" Target="mailto:electro.hecker@gmail.com" TargetMode="External"/><Relationship Id="rId19" Type="http://schemas.openxmlformats.org/officeDocument/2006/relationships/hyperlink" Target="mailto:tasteper.sas@live.fr" TargetMode="External"/><Relationship Id="rId31" Type="http://schemas.openxmlformats.org/officeDocument/2006/relationships/hyperlink" Target="mailto:dklein@industrieservice.fr" TargetMode="External"/><Relationship Id="rId4" Type="http://schemas.openxmlformats.org/officeDocument/2006/relationships/hyperlink" Target="mailto:yves.bechtel@orange.fr" TargetMode="External"/><Relationship Id="rId9" Type="http://schemas.openxmlformats.org/officeDocument/2006/relationships/hyperlink" Target="mailto:jacky.gross2@wanadoo.fr" TargetMode="External"/><Relationship Id="rId14" Type="http://schemas.openxmlformats.org/officeDocument/2006/relationships/hyperlink" Target="mailto:kovacic.pose@orange.fr" TargetMode="External"/><Relationship Id="rId22" Type="http://schemas.openxmlformats.org/officeDocument/2006/relationships/hyperlink" Target="mailto:laetitia.e@fm-s.eu" TargetMode="External"/><Relationship Id="rId27" Type="http://schemas.openxmlformats.org/officeDocument/2006/relationships/hyperlink" Target="mailto:dalmelet@soprema.fr" TargetMode="External"/><Relationship Id="rId30" Type="http://schemas.openxmlformats.org/officeDocument/2006/relationships/hyperlink" Target="mailto:sarah.riehl@alfixfrance.fr" TargetMode="External"/><Relationship Id="rId35" Type="http://schemas.openxmlformats.org/officeDocument/2006/relationships/hyperlink" Target="mailto:abisol-chape@hotmail.fr" TargetMode="External"/><Relationship Id="rId43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  <pageSetUpPr fitToPage="1"/>
  </sheetPr>
  <dimension ref="A1:I74"/>
  <sheetViews>
    <sheetView zoomScaleNormal="100" workbookViewId="0">
      <selection activeCell="A28" sqref="A28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7" t="s">
        <v>0</v>
      </c>
      <c r="B1" s="378"/>
      <c r="C1" s="378"/>
      <c r="D1" s="378"/>
      <c r="E1" s="378"/>
      <c r="F1" s="378"/>
      <c r="G1" s="378"/>
      <c r="H1" s="1" t="s">
        <v>1</v>
      </c>
      <c r="I1" s="3">
        <f ca="1">INT(MOD(INT((LISTE!D1-2)/7)+0.6,52+5/28))+1</f>
        <v>41</v>
      </c>
    </row>
    <row r="2" spans="1:9" x14ac:dyDescent="0.25">
      <c r="A2" s="390" t="s">
        <v>2</v>
      </c>
      <c r="B2" s="391"/>
      <c r="C2" s="70" t="str">
        <f ca="1">MID(CELL("nomfichier",A1),FIND("]",CELL("nomfichier",A1),1)+1,30)</f>
        <v>AAA</v>
      </c>
      <c r="D2" s="4" t="s">
        <v>72</v>
      </c>
      <c r="E2" s="379"/>
      <c r="F2" s="379"/>
      <c r="G2" s="5"/>
      <c r="H2" s="380" t="s">
        <v>143</v>
      </c>
      <c r="I2" s="381"/>
    </row>
    <row r="3" spans="1:9" ht="15.75" x14ac:dyDescent="0.25">
      <c r="A3" s="392" t="s">
        <v>106</v>
      </c>
      <c r="B3" s="384"/>
      <c r="C3" s="6"/>
      <c r="D3" s="7" t="s">
        <v>3</v>
      </c>
      <c r="E3" s="382"/>
      <c r="F3" s="383"/>
      <c r="G3" s="8"/>
      <c r="H3" s="384" t="str">
        <f ca="1">DATEDIF(E3,TODAY(),"m")&amp;"mois"&amp;-DATEDIF(E3,TODAY(),"md")&amp;"jours"</f>
        <v>1425mois-12jours</v>
      </c>
      <c r="I3" s="385"/>
    </row>
    <row r="4" spans="1:9" ht="18.75" x14ac:dyDescent="0.25">
      <c r="A4" s="69" t="s">
        <v>117</v>
      </c>
      <c r="B4" s="129"/>
      <c r="C4" s="9"/>
      <c r="D4" s="10" t="s">
        <v>4</v>
      </c>
      <c r="E4" s="386">
        <f>E3+60</f>
        <v>60</v>
      </c>
      <c r="F4" s="386"/>
      <c r="G4" s="11"/>
      <c r="H4" s="12"/>
      <c r="I4" s="13"/>
    </row>
    <row r="5" spans="1:9" x14ac:dyDescent="0.25">
      <c r="A5" s="393" t="s">
        <v>76</v>
      </c>
      <c r="B5" s="394"/>
      <c r="C5" s="15"/>
      <c r="D5" s="16"/>
      <c r="E5" s="15"/>
      <c r="F5" s="15"/>
      <c r="G5" s="17"/>
      <c r="H5" s="18"/>
      <c r="I5" s="19"/>
    </row>
    <row r="6" spans="1:9" ht="18.75" x14ac:dyDescent="0.3">
      <c r="A6" s="395" t="s">
        <v>75</v>
      </c>
      <c r="B6" s="396"/>
      <c r="C6" s="387" t="s">
        <v>145</v>
      </c>
      <c r="D6" s="388"/>
      <c r="E6" s="388"/>
      <c r="F6" s="388"/>
      <c r="G6" s="388"/>
      <c r="H6" s="389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22"/>
      <c r="B8" s="200"/>
      <c r="C8" s="28" t="s">
        <v>124</v>
      </c>
      <c r="D8" s="52" t="s">
        <v>65</v>
      </c>
      <c r="E8" s="180">
        <v>36</v>
      </c>
      <c r="F8" s="25"/>
      <c r="G8" s="26" t="s">
        <v>9</v>
      </c>
      <c r="H8" s="27"/>
      <c r="I8" s="19"/>
    </row>
    <row r="9" spans="1:9" x14ac:dyDescent="0.25">
      <c r="A9" s="122"/>
      <c r="B9" s="130"/>
      <c r="C9" s="28" t="s">
        <v>131</v>
      </c>
      <c r="D9" s="53" t="str">
        <f>D8</f>
        <v>_</v>
      </c>
      <c r="E9" s="181">
        <f>E8+1</f>
        <v>37</v>
      </c>
      <c r="F9" s="29"/>
      <c r="G9" s="30" t="s">
        <v>9</v>
      </c>
      <c r="H9" s="27"/>
      <c r="I9" s="19"/>
    </row>
    <row r="10" spans="1:9" ht="15" customHeight="1" x14ac:dyDescent="0.25">
      <c r="A10" s="131"/>
      <c r="B10" s="182"/>
      <c r="C10" s="28" t="s">
        <v>132</v>
      </c>
      <c r="D10" s="52" t="str">
        <f>D9</f>
        <v>_</v>
      </c>
      <c r="E10" s="180">
        <f>E9</f>
        <v>37</v>
      </c>
      <c r="F10" s="31"/>
      <c r="G10" s="30" t="s">
        <v>9</v>
      </c>
      <c r="H10" s="27"/>
      <c r="I10" s="19"/>
    </row>
    <row r="11" spans="1:9" ht="15" customHeight="1" x14ac:dyDescent="0.25">
      <c r="A11" s="131"/>
      <c r="B11" s="132"/>
      <c r="C11" s="28" t="s">
        <v>133</v>
      </c>
      <c r="D11" s="54" t="str">
        <f>D8</f>
        <v>_</v>
      </c>
      <c r="E11" s="180">
        <f>E10+1</f>
        <v>38</v>
      </c>
      <c r="F11" s="31"/>
      <c r="G11" s="30" t="s">
        <v>9</v>
      </c>
      <c r="H11" s="27"/>
      <c r="I11" s="19"/>
    </row>
    <row r="12" spans="1:9" ht="15" customHeight="1" x14ac:dyDescent="0.25">
      <c r="A12" s="143"/>
      <c r="B12" s="143">
        <f>A12</f>
        <v>0</v>
      </c>
      <c r="C12" s="28" t="s">
        <v>134</v>
      </c>
      <c r="D12" s="54" t="str">
        <f t="shared" ref="D12:D14" si="0">D9</f>
        <v>_</v>
      </c>
      <c r="E12" s="180">
        <f>E11+2</f>
        <v>40</v>
      </c>
      <c r="F12" s="31"/>
      <c r="G12" s="30" t="s">
        <v>9</v>
      </c>
      <c r="H12" s="27"/>
      <c r="I12" s="19"/>
    </row>
    <row r="13" spans="1:9" ht="15" customHeight="1" x14ac:dyDescent="0.25">
      <c r="A13" s="131"/>
      <c r="B13" s="132"/>
      <c r="C13" s="28" t="s">
        <v>135</v>
      </c>
      <c r="D13" s="54" t="str">
        <f t="shared" si="0"/>
        <v>_</v>
      </c>
      <c r="E13" s="180">
        <f>E12+1</f>
        <v>41</v>
      </c>
      <c r="F13" s="31"/>
      <c r="G13" s="30" t="s">
        <v>9</v>
      </c>
      <c r="H13" s="27"/>
      <c r="I13" s="19"/>
    </row>
    <row r="14" spans="1:9" ht="15" customHeight="1" x14ac:dyDescent="0.25">
      <c r="A14" s="131"/>
      <c r="B14" s="132"/>
      <c r="C14" s="28" t="s">
        <v>136</v>
      </c>
      <c r="D14" s="54" t="str">
        <f t="shared" si="0"/>
        <v>_</v>
      </c>
      <c r="E14" s="180">
        <f>E13</f>
        <v>41</v>
      </c>
      <c r="F14" s="31"/>
      <c r="G14" s="30" t="s">
        <v>9</v>
      </c>
      <c r="H14" s="27"/>
      <c r="I14" s="19"/>
    </row>
    <row r="15" spans="1:9" x14ac:dyDescent="0.25">
      <c r="A15" s="131"/>
      <c r="B15" s="132"/>
      <c r="C15" s="28" t="s">
        <v>62</v>
      </c>
      <c r="D15" s="53" t="s">
        <v>64</v>
      </c>
      <c r="E15" s="24">
        <f>E10+1</f>
        <v>38</v>
      </c>
      <c r="F15" s="29"/>
      <c r="G15" s="30" t="s">
        <v>70</v>
      </c>
      <c r="H15" s="27"/>
      <c r="I15" s="19"/>
    </row>
    <row r="16" spans="1:9" x14ac:dyDescent="0.25">
      <c r="A16" s="131"/>
      <c r="B16" s="132"/>
      <c r="C16" s="28" t="s">
        <v>10</v>
      </c>
      <c r="D16" s="52" t="s">
        <v>64</v>
      </c>
      <c r="E16" s="24">
        <f>E15+1</f>
        <v>39</v>
      </c>
      <c r="F16" s="29"/>
      <c r="G16" s="30" t="s">
        <v>70</v>
      </c>
      <c r="H16" s="27"/>
      <c r="I16" s="19"/>
    </row>
    <row r="17" spans="1:9" x14ac:dyDescent="0.25">
      <c r="A17" s="131"/>
      <c r="B17" s="132"/>
      <c r="C17" s="28" t="s">
        <v>11</v>
      </c>
      <c r="D17" s="53" t="s">
        <v>65</v>
      </c>
      <c r="E17" s="24">
        <f>E13+1</f>
        <v>42</v>
      </c>
      <c r="F17" s="29"/>
      <c r="G17" s="30" t="s">
        <v>9</v>
      </c>
      <c r="H17" s="27"/>
      <c r="I17" s="19"/>
    </row>
    <row r="18" spans="1:9" x14ac:dyDescent="0.25">
      <c r="A18" s="143"/>
      <c r="B18" s="143">
        <f>A18</f>
        <v>0</v>
      </c>
      <c r="C18" s="28" t="s">
        <v>12</v>
      </c>
      <c r="D18" s="52" t="s">
        <v>65</v>
      </c>
      <c r="E18" s="180">
        <f>IF(E13="","",MOD(E17+1,52))</f>
        <v>43</v>
      </c>
      <c r="F18" s="29"/>
      <c r="G18" s="30" t="s">
        <v>9</v>
      </c>
      <c r="H18" s="27"/>
      <c r="I18" s="19"/>
    </row>
    <row r="19" spans="1:9" x14ac:dyDescent="0.25">
      <c r="A19" s="131"/>
      <c r="B19" s="132"/>
      <c r="C19" s="28" t="s">
        <v>73</v>
      </c>
      <c r="D19" s="53" t="str">
        <f>D10</f>
        <v>_</v>
      </c>
      <c r="E19" s="24">
        <f>IF(E18="","",MOD(E18+1,52))</f>
        <v>44</v>
      </c>
      <c r="F19" s="29"/>
      <c r="G19" s="30" t="s">
        <v>9</v>
      </c>
      <c r="H19" s="27"/>
      <c r="I19" s="19"/>
    </row>
    <row r="20" spans="1:9" x14ac:dyDescent="0.25">
      <c r="A20" s="142"/>
      <c r="B20" s="143">
        <f>A20</f>
        <v>0</v>
      </c>
      <c r="C20" s="28" t="s">
        <v>59</v>
      </c>
      <c r="D20" s="52" t="s">
        <v>65</v>
      </c>
      <c r="E20" s="24">
        <f>IF(E19="","",MOD(E19+1,52))</f>
        <v>45</v>
      </c>
      <c r="F20" s="29"/>
      <c r="G20" s="30" t="s">
        <v>9</v>
      </c>
      <c r="H20" s="27"/>
      <c r="I20" s="19"/>
    </row>
    <row r="21" spans="1:9" x14ac:dyDescent="0.25">
      <c r="A21" s="142"/>
      <c r="B21" s="143">
        <f>A21</f>
        <v>0</v>
      </c>
      <c r="C21" s="28" t="s">
        <v>60</v>
      </c>
      <c r="D21" s="54" t="s">
        <v>65</v>
      </c>
      <c r="E21" s="24">
        <f>E20</f>
        <v>45</v>
      </c>
      <c r="F21" s="29"/>
      <c r="G21" s="30" t="s">
        <v>9</v>
      </c>
      <c r="H21" s="50"/>
      <c r="I21" s="19"/>
    </row>
    <row r="22" spans="1:9" x14ac:dyDescent="0.25">
      <c r="A22" s="131"/>
      <c r="B22" s="132"/>
      <c r="C22" s="167" t="s">
        <v>13</v>
      </c>
      <c r="D22" s="168" t="s">
        <v>65</v>
      </c>
      <c r="E22" s="169">
        <f>E20</f>
        <v>45</v>
      </c>
      <c r="F22" s="170"/>
      <c r="G22" s="171" t="s">
        <v>9</v>
      </c>
      <c r="H22" s="172"/>
      <c r="I22" s="19"/>
    </row>
    <row r="23" spans="1:9" x14ac:dyDescent="0.25">
      <c r="A23" s="143"/>
      <c r="B23" s="143">
        <f>A23</f>
        <v>0</v>
      </c>
      <c r="C23" s="32" t="s">
        <v>138</v>
      </c>
      <c r="D23" s="52" t="s">
        <v>65</v>
      </c>
      <c r="E23" s="24">
        <f>IF(E20="","",MOD(E20+2,52))</f>
        <v>47</v>
      </c>
      <c r="F23" s="29"/>
      <c r="G23" s="30" t="s">
        <v>9</v>
      </c>
      <c r="H23" s="27"/>
      <c r="I23" s="19"/>
    </row>
    <row r="24" spans="1:9" x14ac:dyDescent="0.25">
      <c r="A24" s="131"/>
      <c r="B24" s="132"/>
      <c r="C24" s="28" t="s">
        <v>14</v>
      </c>
      <c r="D24" s="53" t="str">
        <f>D17</f>
        <v>_</v>
      </c>
      <c r="E24" s="24">
        <f>IF(E20="","",MOD(E20+2,52))</f>
        <v>47</v>
      </c>
      <c r="F24" s="29"/>
      <c r="G24" s="30" t="s">
        <v>9</v>
      </c>
      <c r="H24" s="27"/>
      <c r="I24" s="19"/>
    </row>
    <row r="25" spans="1:9" x14ac:dyDescent="0.25">
      <c r="A25" s="143"/>
      <c r="B25" s="143">
        <f>A25</f>
        <v>0</v>
      </c>
      <c r="C25" s="183" t="s">
        <v>137</v>
      </c>
      <c r="D25" s="53" t="s">
        <v>65</v>
      </c>
      <c r="E25" s="24">
        <f>E23</f>
        <v>47</v>
      </c>
      <c r="F25" s="29"/>
      <c r="G25" s="72" t="s">
        <v>9</v>
      </c>
      <c r="H25" s="27"/>
      <c r="I25" s="19"/>
    </row>
    <row r="26" spans="1:9" x14ac:dyDescent="0.25">
      <c r="A26" s="131"/>
      <c r="B26" s="132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145"/>
      <c r="B27" s="146"/>
      <c r="C27" s="387" t="s">
        <v>144</v>
      </c>
      <c r="D27" s="388"/>
      <c r="E27" s="388"/>
      <c r="F27" s="388"/>
      <c r="G27" s="388"/>
      <c r="H27" s="389"/>
      <c r="I27" s="19"/>
    </row>
    <row r="28" spans="1:9" ht="15.75" thickBot="1" x14ac:dyDescent="0.3">
      <c r="A28" s="131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43"/>
      <c r="B29" s="143">
        <f>A29</f>
        <v>0</v>
      </c>
      <c r="C29" s="78" t="s">
        <v>66</v>
      </c>
      <c r="D29" s="52" t="s">
        <v>65</v>
      </c>
      <c r="E29" s="79">
        <f>IF(E24="","",MOD(E24+1,52))</f>
        <v>48</v>
      </c>
      <c r="F29" s="25"/>
      <c r="G29" s="26" t="s">
        <v>9</v>
      </c>
      <c r="H29" s="27"/>
      <c r="I29" s="19"/>
    </row>
    <row r="30" spans="1:9" x14ac:dyDescent="0.25">
      <c r="A30" s="143"/>
      <c r="B30" s="143">
        <f>A30</f>
        <v>0</v>
      </c>
      <c r="C30" s="28" t="s">
        <v>67</v>
      </c>
      <c r="D30" s="53" t="s">
        <v>65</v>
      </c>
      <c r="E30" s="24">
        <f>IF(E29="","",MOD(E29+1,52))</f>
        <v>49</v>
      </c>
      <c r="F30" s="29"/>
      <c r="G30" s="30"/>
      <c r="H30" s="27"/>
      <c r="I30" s="19"/>
    </row>
    <row r="31" spans="1:9" x14ac:dyDescent="0.25">
      <c r="A31" s="131"/>
      <c r="B31" s="132"/>
      <c r="C31" s="62" t="s">
        <v>16</v>
      </c>
      <c r="D31" s="52" t="str">
        <f>D29</f>
        <v>_</v>
      </c>
      <c r="E31" s="24">
        <f>IF(E30="","",MOD(E30+2,52))</f>
        <v>51</v>
      </c>
      <c r="F31" s="29"/>
      <c r="G31" s="30"/>
      <c r="H31" s="27"/>
      <c r="I31" s="19"/>
    </row>
    <row r="32" spans="1:9" x14ac:dyDescent="0.25">
      <c r="A32" s="143"/>
      <c r="B32" s="143">
        <f>A32</f>
        <v>0</v>
      </c>
      <c r="C32" s="80" t="s">
        <v>17</v>
      </c>
      <c r="D32" s="53" t="s">
        <v>65</v>
      </c>
      <c r="E32" s="24">
        <f>IF(E30="","",MOD(E30+2,52))</f>
        <v>51</v>
      </c>
      <c r="F32" s="29"/>
      <c r="G32" s="30"/>
      <c r="H32" s="27"/>
      <c r="I32" s="19"/>
    </row>
    <row r="33" spans="1:9" x14ac:dyDescent="0.25">
      <c r="A33" s="143"/>
      <c r="B33" s="143"/>
      <c r="C33" s="62" t="s">
        <v>140</v>
      </c>
      <c r="D33" s="52" t="s">
        <v>65</v>
      </c>
      <c r="E33" s="24">
        <f>IF(E32="","",MOD(E32+1,52))</f>
        <v>0</v>
      </c>
      <c r="F33" s="29"/>
      <c r="G33" s="30"/>
      <c r="H33" s="27"/>
      <c r="I33" s="19"/>
    </row>
    <row r="34" spans="1:9" x14ac:dyDescent="0.25">
      <c r="A34" s="143"/>
      <c r="B34" s="143">
        <f>A34</f>
        <v>0</v>
      </c>
      <c r="C34" s="28" t="s">
        <v>141</v>
      </c>
      <c r="D34" s="53" t="s">
        <v>65</v>
      </c>
      <c r="E34" s="24">
        <f>IF(E32="","",MOD(E32+1,52))</f>
        <v>0</v>
      </c>
      <c r="F34" s="29"/>
      <c r="G34" s="30"/>
      <c r="H34" s="27"/>
      <c r="I34" s="19"/>
    </row>
    <row r="35" spans="1:9" x14ac:dyDescent="0.25">
      <c r="A35" s="131"/>
      <c r="B35" s="13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143"/>
      <c r="B36" s="143">
        <f>A36</f>
        <v>0</v>
      </c>
      <c r="C36" s="28" t="s">
        <v>19</v>
      </c>
      <c r="D36" s="53" t="s">
        <v>65</v>
      </c>
      <c r="E36" s="24">
        <f>IF(E34="","",MOD(E34+1,52))</f>
        <v>1</v>
      </c>
      <c r="F36" s="29"/>
      <c r="G36" s="30"/>
      <c r="H36" s="27"/>
      <c r="I36" s="19"/>
    </row>
    <row r="37" spans="1:9" x14ac:dyDescent="0.25">
      <c r="A37" s="131"/>
      <c r="B37" s="132"/>
      <c r="C37" s="28" t="s">
        <v>20</v>
      </c>
      <c r="D37" s="52" t="str">
        <f>D30</f>
        <v>_</v>
      </c>
      <c r="E37" s="24">
        <f>IF(E36="","",MOD(E36+1,52))</f>
        <v>2</v>
      </c>
      <c r="F37" s="29"/>
      <c r="G37" s="30"/>
      <c r="H37" s="27"/>
      <c r="I37" s="19"/>
    </row>
    <row r="38" spans="1:9" x14ac:dyDescent="0.25">
      <c r="A38" s="131"/>
      <c r="B38" s="132"/>
      <c r="C38" s="28" t="s">
        <v>21</v>
      </c>
      <c r="D38" s="53" t="str">
        <f>D29</f>
        <v>_</v>
      </c>
      <c r="E38" s="24">
        <f>IF(E37="","",MOD(E37+1,52))</f>
        <v>3</v>
      </c>
      <c r="F38" s="29"/>
      <c r="G38" s="30" t="s">
        <v>9</v>
      </c>
      <c r="H38" s="27"/>
      <c r="I38" s="19"/>
    </row>
    <row r="39" spans="1:9" x14ac:dyDescent="0.25">
      <c r="A39" s="131"/>
      <c r="B39" s="132"/>
      <c r="C39" s="28" t="s">
        <v>22</v>
      </c>
      <c r="D39" s="52" t="str">
        <f>D32</f>
        <v>_</v>
      </c>
      <c r="E39" s="24">
        <f>IF(E37="","",MOD(E37+1,52))</f>
        <v>3</v>
      </c>
      <c r="F39" s="29"/>
      <c r="G39" s="30"/>
      <c r="H39" s="27"/>
      <c r="I39" s="19"/>
    </row>
    <row r="40" spans="1:9" x14ac:dyDescent="0.25">
      <c r="A40" s="131"/>
      <c r="B40" s="132"/>
      <c r="C40" s="28" t="s">
        <v>23</v>
      </c>
      <c r="D40" s="53" t="s">
        <v>64</v>
      </c>
      <c r="E40" s="24">
        <f>E36+4</f>
        <v>5</v>
      </c>
      <c r="F40" s="29"/>
      <c r="G40" s="30" t="s">
        <v>70</v>
      </c>
      <c r="H40" s="27"/>
      <c r="I40" s="19"/>
    </row>
    <row r="41" spans="1:9" x14ac:dyDescent="0.25">
      <c r="A41" s="131"/>
      <c r="B41" s="132"/>
      <c r="C41" s="28" t="s">
        <v>24</v>
      </c>
      <c r="D41" s="52" t="s">
        <v>64</v>
      </c>
      <c r="E41" s="24">
        <f>E39+1</f>
        <v>4</v>
      </c>
      <c r="F41" s="29"/>
      <c r="G41" s="30" t="s">
        <v>70</v>
      </c>
      <c r="H41" s="27"/>
      <c r="I41" s="19"/>
    </row>
    <row r="42" spans="1:9" x14ac:dyDescent="0.25">
      <c r="A42" s="131"/>
      <c r="B42" s="132"/>
      <c r="C42" s="28" t="s">
        <v>25</v>
      </c>
      <c r="D42" s="53" t="str">
        <f>D34</f>
        <v>_</v>
      </c>
      <c r="E42" s="24">
        <f>IF(E40="","",MOD(E40+2,52))</f>
        <v>7</v>
      </c>
      <c r="F42" s="29"/>
      <c r="G42" s="30"/>
      <c r="H42" s="27"/>
      <c r="I42" s="19"/>
    </row>
    <row r="43" spans="1:9" x14ac:dyDescent="0.25">
      <c r="A43" s="143"/>
      <c r="B43" s="143">
        <f>A43</f>
        <v>0</v>
      </c>
      <c r="C43" s="81" t="s">
        <v>147</v>
      </c>
      <c r="D43" s="52" t="s">
        <v>65</v>
      </c>
      <c r="E43" s="82">
        <f>E44</f>
        <v>7</v>
      </c>
      <c r="F43" s="83"/>
      <c r="G43" s="72"/>
      <c r="H43" s="27"/>
      <c r="I43" s="19"/>
    </row>
    <row r="44" spans="1:9" x14ac:dyDescent="0.25">
      <c r="A44" s="143"/>
      <c r="B44" s="143">
        <f>A44</f>
        <v>0</v>
      </c>
      <c r="C44" s="81" t="s">
        <v>139</v>
      </c>
      <c r="D44" s="193" t="s">
        <v>65</v>
      </c>
      <c r="E44" s="82">
        <f>IF(E40="","",MOD(E40+2,52))</f>
        <v>7</v>
      </c>
      <c r="F44" s="83"/>
      <c r="G44" s="72"/>
      <c r="H44" s="194"/>
      <c r="I44" s="19"/>
    </row>
    <row r="45" spans="1:9" x14ac:dyDescent="0.25">
      <c r="A45" s="131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145"/>
      <c r="B46" s="146"/>
      <c r="C46" s="387" t="s">
        <v>146</v>
      </c>
      <c r="D46" s="388"/>
      <c r="E46" s="388"/>
      <c r="F46" s="388"/>
      <c r="G46" s="388"/>
      <c r="H46" s="389"/>
      <c r="I46" s="19"/>
    </row>
    <row r="47" spans="1:9" ht="15.75" thickBot="1" x14ac:dyDescent="0.3">
      <c r="A47" s="131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143"/>
      <c r="B48" s="143">
        <f>A48</f>
        <v>0</v>
      </c>
      <c r="C48" s="88" t="s">
        <v>26</v>
      </c>
      <c r="D48" s="52" t="s">
        <v>65</v>
      </c>
      <c r="E48" s="89">
        <f>E32+1</f>
        <v>52</v>
      </c>
      <c r="F48" s="25"/>
      <c r="G48" s="26"/>
      <c r="H48" s="27"/>
      <c r="I48" s="19"/>
    </row>
    <row r="49" spans="1:9" x14ac:dyDescent="0.25">
      <c r="A49" s="133"/>
      <c r="B49" s="173"/>
      <c r="C49" s="102" t="s">
        <v>69</v>
      </c>
      <c r="D49" s="103" t="s">
        <v>64</v>
      </c>
      <c r="E49" s="104">
        <f>E48</f>
        <v>52</v>
      </c>
      <c r="F49" s="105"/>
      <c r="G49" s="106" t="s">
        <v>70</v>
      </c>
      <c r="H49" s="27"/>
      <c r="I49" s="19"/>
    </row>
    <row r="50" spans="1:9" x14ac:dyDescent="0.25">
      <c r="A50" s="133"/>
      <c r="B50" s="173"/>
      <c r="C50" s="92" t="s">
        <v>61</v>
      </c>
      <c r="D50" s="99" t="s">
        <v>68</v>
      </c>
      <c r="E50" s="101">
        <f>E48+1</f>
        <v>53</v>
      </c>
      <c r="F50" s="95"/>
      <c r="G50" s="96" t="s">
        <v>9</v>
      </c>
      <c r="H50" s="97"/>
      <c r="I50" s="19"/>
    </row>
    <row r="51" spans="1:9" x14ac:dyDescent="0.25">
      <c r="A51" s="133"/>
      <c r="B51" s="173"/>
      <c r="C51" s="91" t="s">
        <v>27</v>
      </c>
      <c r="D51" s="52" t="str">
        <f>D48</f>
        <v>_</v>
      </c>
      <c r="E51" s="90">
        <f>E48+3</f>
        <v>55</v>
      </c>
      <c r="F51" s="29"/>
      <c r="G51" s="72"/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7" t="s">
        <v>142</v>
      </c>
      <c r="I54" s="19"/>
    </row>
    <row r="55" spans="1:9" x14ac:dyDescent="0.25">
      <c r="A55" s="42"/>
      <c r="B55" s="126"/>
      <c r="C55" s="43" t="s">
        <v>122</v>
      </c>
      <c r="D55" s="107"/>
      <c r="E55" s="44"/>
      <c r="F55" s="45"/>
      <c r="G55" s="18"/>
      <c r="H55" s="398"/>
      <c r="I55" s="19"/>
    </row>
    <row r="56" spans="1:9" x14ac:dyDescent="0.25">
      <c r="A56" s="42"/>
      <c r="B56" s="126"/>
      <c r="C56" s="33" t="s">
        <v>123</v>
      </c>
      <c r="D56" s="49"/>
      <c r="E56" s="46"/>
      <c r="F56" s="2"/>
      <c r="G56" s="18"/>
      <c r="H56" s="399" t="str">
        <f>DATEDIF(E3,D58,"m")&amp;"mois"&amp;DATEDIF(E3,D58,"md")&amp;"jours"</f>
        <v>0mois0jours</v>
      </c>
      <c r="I56" s="19"/>
    </row>
    <row r="57" spans="1:9" ht="15.75" thickBot="1" x14ac:dyDescent="0.3">
      <c r="A57" s="42"/>
      <c r="B57" s="126"/>
      <c r="C57" s="33" t="s">
        <v>31</v>
      </c>
      <c r="D57" s="176"/>
      <c r="E57" s="46"/>
      <c r="F57" s="2"/>
      <c r="G57" s="18"/>
      <c r="H57" s="400"/>
      <c r="I57" s="19"/>
    </row>
    <row r="58" spans="1:9" x14ac:dyDescent="0.25">
      <c r="A58" s="42"/>
      <c r="B58" s="126"/>
      <c r="C58" s="47" t="s">
        <v>32</v>
      </c>
      <c r="D58" s="184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1"/>
      <c r="D60" s="371"/>
      <c r="E60" s="371"/>
      <c r="F60" s="371"/>
      <c r="G60" s="371"/>
      <c r="H60" s="371"/>
      <c r="I60" s="372"/>
    </row>
    <row r="61" spans="1:9" x14ac:dyDescent="0.25">
      <c r="A61" s="34"/>
      <c r="B61" s="18"/>
      <c r="C61" s="373"/>
      <c r="D61" s="373"/>
      <c r="E61" s="373"/>
      <c r="F61" s="373"/>
      <c r="G61" s="373"/>
      <c r="H61" s="373"/>
      <c r="I61" s="374"/>
    </row>
    <row r="62" spans="1:9" x14ac:dyDescent="0.25">
      <c r="A62" s="34"/>
      <c r="B62" s="18"/>
      <c r="C62" s="373"/>
      <c r="D62" s="373"/>
      <c r="E62" s="373"/>
      <c r="F62" s="373"/>
      <c r="G62" s="373"/>
      <c r="H62" s="373"/>
      <c r="I62" s="374"/>
    </row>
    <row r="63" spans="1:9" x14ac:dyDescent="0.25">
      <c r="A63" s="34"/>
      <c r="B63" s="18"/>
      <c r="C63" s="373"/>
      <c r="D63" s="373"/>
      <c r="E63" s="373"/>
      <c r="F63" s="373"/>
      <c r="G63" s="373"/>
      <c r="H63" s="373"/>
      <c r="I63" s="374"/>
    </row>
    <row r="64" spans="1:9" x14ac:dyDescent="0.25">
      <c r="A64" s="34"/>
      <c r="B64" s="18"/>
      <c r="C64" s="373"/>
      <c r="D64" s="373"/>
      <c r="E64" s="373"/>
      <c r="F64" s="373"/>
      <c r="G64" s="373"/>
      <c r="H64" s="373"/>
      <c r="I64" s="374"/>
    </row>
    <row r="65" spans="1:9" x14ac:dyDescent="0.25">
      <c r="A65" s="44"/>
      <c r="B65" s="45"/>
      <c r="C65" s="375"/>
      <c r="D65" s="375"/>
      <c r="E65" s="375"/>
      <c r="F65" s="375"/>
      <c r="G65" s="375"/>
      <c r="H65" s="375"/>
      <c r="I65" s="376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C60:I65"/>
    <mergeCell ref="A1:G1"/>
    <mergeCell ref="E2:F2"/>
    <mergeCell ref="H2:I2"/>
    <mergeCell ref="E3:F3"/>
    <mergeCell ref="H3:I3"/>
    <mergeCell ref="E4:F4"/>
    <mergeCell ref="C6:H6"/>
    <mergeCell ref="A2:B2"/>
    <mergeCell ref="A3:B3"/>
    <mergeCell ref="A5:B5"/>
    <mergeCell ref="A6:B6"/>
    <mergeCell ref="H54:H55"/>
    <mergeCell ref="H56:H57"/>
    <mergeCell ref="C27:H27"/>
    <mergeCell ref="C46:H46"/>
  </mergeCells>
  <conditionalFormatting sqref="C52:G52">
    <cfRule type="expression" dxfId="3721" priority="81">
      <formula>$F52="réalisé"</formula>
    </cfRule>
  </conditionalFormatting>
  <conditionalFormatting sqref="C48:C51 E48:H51 E29:H45 C8:H26">
    <cfRule type="expression" dxfId="3720" priority="78">
      <formula>$G8="réalisé"</formula>
    </cfRule>
    <cfRule type="expression" dxfId="3719" priority="79">
      <formula>$G8="en cours"</formula>
    </cfRule>
    <cfRule type="expression" dxfId="3718" priority="80">
      <formula>$G8="non compris"</formula>
    </cfRule>
  </conditionalFormatting>
  <conditionalFormatting sqref="C29:C45">
    <cfRule type="expression" dxfId="3717" priority="73">
      <formula>$G29="réalisé"</formula>
    </cfRule>
    <cfRule type="expression" dxfId="3716" priority="74">
      <formula>$G29="en cours"</formula>
    </cfRule>
    <cfRule type="expression" dxfId="3715" priority="75">
      <formula>$G29="non compris"</formula>
    </cfRule>
  </conditionalFormatting>
  <conditionalFormatting sqref="C55:F58">
    <cfRule type="expression" dxfId="3714" priority="69">
      <formula>$F55="réalisé"</formula>
    </cfRule>
  </conditionalFormatting>
  <conditionalFormatting sqref="G9">
    <cfRule type="expression" dxfId="3713" priority="68">
      <formula>$G$10="réalisé"</formula>
    </cfRule>
  </conditionalFormatting>
  <conditionalFormatting sqref="G10:G14">
    <cfRule type="expression" dxfId="3712" priority="67">
      <formula>$G$15="réalisé"</formula>
    </cfRule>
  </conditionalFormatting>
  <conditionalFormatting sqref="G20:G21">
    <cfRule type="expression" dxfId="3711" priority="66">
      <formula>$G$22="réalisé"</formula>
    </cfRule>
  </conditionalFormatting>
  <conditionalFormatting sqref="G30">
    <cfRule type="expression" dxfId="3710" priority="65">
      <formula>$G$31="réalisé"</formula>
    </cfRule>
  </conditionalFormatting>
  <conditionalFormatting sqref="D29">
    <cfRule type="expression" dxfId="3709" priority="62">
      <formula>$G29="réalisé"</formula>
    </cfRule>
    <cfRule type="expression" dxfId="3708" priority="63">
      <formula>$G29="en cours"</formula>
    </cfRule>
    <cfRule type="expression" dxfId="3707" priority="64">
      <formula>$G29="non compris"</formula>
    </cfRule>
  </conditionalFormatting>
  <conditionalFormatting sqref="D31">
    <cfRule type="expression" dxfId="3706" priority="59">
      <formula>$G31="réalisé"</formula>
    </cfRule>
    <cfRule type="expression" dxfId="3705" priority="60">
      <formula>$G31="en cours"</formula>
    </cfRule>
    <cfRule type="expression" dxfId="3704" priority="61">
      <formula>$G31="non compris"</formula>
    </cfRule>
  </conditionalFormatting>
  <conditionalFormatting sqref="D33">
    <cfRule type="expression" dxfId="3703" priority="56">
      <formula>$G33="réalisé"</formula>
    </cfRule>
    <cfRule type="expression" dxfId="3702" priority="57">
      <formula>$G33="en cours"</formula>
    </cfRule>
    <cfRule type="expression" dxfId="3701" priority="58">
      <formula>$G33="non compris"</formula>
    </cfRule>
  </conditionalFormatting>
  <conditionalFormatting sqref="D35">
    <cfRule type="expression" dxfId="3700" priority="53">
      <formula>$G35="réalisé"</formula>
    </cfRule>
    <cfRule type="expression" dxfId="3699" priority="54">
      <formula>$G35="en cours"</formula>
    </cfRule>
    <cfRule type="expression" dxfId="3698" priority="55">
      <formula>$G35="non compris"</formula>
    </cfRule>
  </conditionalFormatting>
  <conditionalFormatting sqref="D37">
    <cfRule type="expression" dxfId="3697" priority="50">
      <formula>$G37="réalisé"</formula>
    </cfRule>
    <cfRule type="expression" dxfId="3696" priority="51">
      <formula>$G37="en cours"</formula>
    </cfRule>
    <cfRule type="expression" dxfId="3695" priority="52">
      <formula>$G37="non compris"</formula>
    </cfRule>
  </conditionalFormatting>
  <conditionalFormatting sqref="D39">
    <cfRule type="expression" dxfId="3694" priority="47">
      <formula>$G39="réalisé"</formula>
    </cfRule>
    <cfRule type="expression" dxfId="3693" priority="48">
      <formula>$G39="en cours"</formula>
    </cfRule>
    <cfRule type="expression" dxfId="3692" priority="49">
      <formula>$G39="non compris"</formula>
    </cfRule>
  </conditionalFormatting>
  <conditionalFormatting sqref="D41">
    <cfRule type="expression" dxfId="3691" priority="44">
      <formula>$G41="réalisé"</formula>
    </cfRule>
    <cfRule type="expression" dxfId="3690" priority="45">
      <formula>$G41="en cours"</formula>
    </cfRule>
    <cfRule type="expression" dxfId="3689" priority="46">
      <formula>$G41="non compris"</formula>
    </cfRule>
  </conditionalFormatting>
  <conditionalFormatting sqref="D44:D45">
    <cfRule type="expression" dxfId="3688" priority="41">
      <formula>$G44="réalisé"</formula>
    </cfRule>
    <cfRule type="expression" dxfId="3687" priority="42">
      <formula>$G44="en cours"</formula>
    </cfRule>
    <cfRule type="expression" dxfId="3686" priority="43">
      <formula>$G44="non compris"</formula>
    </cfRule>
  </conditionalFormatting>
  <conditionalFormatting sqref="D30">
    <cfRule type="expression" dxfId="3685" priority="38">
      <formula>$G30="réalisé"</formula>
    </cfRule>
    <cfRule type="expression" dxfId="3684" priority="39">
      <formula>$G30="en cours"</formula>
    </cfRule>
    <cfRule type="expression" dxfId="3683" priority="40">
      <formula>$G30="non compris"</formula>
    </cfRule>
  </conditionalFormatting>
  <conditionalFormatting sqref="D32">
    <cfRule type="expression" dxfId="3682" priority="35">
      <formula>$G32="réalisé"</formula>
    </cfRule>
    <cfRule type="expression" dxfId="3681" priority="36">
      <formula>$G32="en cours"</formula>
    </cfRule>
    <cfRule type="expression" dxfId="3680" priority="37">
      <formula>$G32="non compris"</formula>
    </cfRule>
  </conditionalFormatting>
  <conditionalFormatting sqref="D34">
    <cfRule type="expression" dxfId="3679" priority="32">
      <formula>$G34="réalisé"</formula>
    </cfRule>
    <cfRule type="expression" dxfId="3678" priority="33">
      <formula>$G34="en cours"</formula>
    </cfRule>
    <cfRule type="expression" dxfId="3677" priority="34">
      <formula>$G34="non compris"</formula>
    </cfRule>
  </conditionalFormatting>
  <conditionalFormatting sqref="D36">
    <cfRule type="expression" dxfId="3676" priority="29">
      <formula>$G36="réalisé"</formula>
    </cfRule>
    <cfRule type="expression" dxfId="3675" priority="30">
      <formula>$G36="en cours"</formula>
    </cfRule>
    <cfRule type="expression" dxfId="3674" priority="31">
      <formula>$G36="non compris"</formula>
    </cfRule>
  </conditionalFormatting>
  <conditionalFormatting sqref="D38">
    <cfRule type="expression" dxfId="3673" priority="26">
      <formula>$G38="réalisé"</formula>
    </cfRule>
    <cfRule type="expression" dxfId="3672" priority="27">
      <formula>$G38="en cours"</formula>
    </cfRule>
    <cfRule type="expression" dxfId="3671" priority="28">
      <formula>$G38="non compris"</formula>
    </cfRule>
  </conditionalFormatting>
  <conditionalFormatting sqref="D40">
    <cfRule type="expression" dxfId="3670" priority="23">
      <formula>$G40="réalisé"</formula>
    </cfRule>
    <cfRule type="expression" dxfId="3669" priority="24">
      <formula>$G40="en cours"</formula>
    </cfRule>
    <cfRule type="expression" dxfId="3668" priority="25">
      <formula>$G40="non compris"</formula>
    </cfRule>
  </conditionalFormatting>
  <conditionalFormatting sqref="D42:D43">
    <cfRule type="expression" dxfId="3667" priority="20">
      <formula>$G42="réalisé"</formula>
    </cfRule>
    <cfRule type="expression" dxfId="3666" priority="21">
      <formula>$G42="en cours"</formula>
    </cfRule>
    <cfRule type="expression" dxfId="3665" priority="22">
      <formula>$G42="non compris"</formula>
    </cfRule>
  </conditionalFormatting>
  <conditionalFormatting sqref="D50">
    <cfRule type="expression" dxfId="3664" priority="14">
      <formula>$G50="réalisé"</formula>
    </cfRule>
    <cfRule type="expression" dxfId="3663" priority="15">
      <formula>$G50="en cours"</formula>
    </cfRule>
    <cfRule type="expression" dxfId="3662" priority="16">
      <formula>$G50="non compris"</formula>
    </cfRule>
  </conditionalFormatting>
  <conditionalFormatting sqref="D49">
    <cfRule type="expression" dxfId="3661" priority="11">
      <formula>$G49="réalisé"</formula>
    </cfRule>
    <cfRule type="expression" dxfId="3660" priority="12">
      <formula>$G49="en cours"</formula>
    </cfRule>
    <cfRule type="expression" dxfId="3659" priority="13">
      <formula>$G49="non compris"</formula>
    </cfRule>
  </conditionalFormatting>
  <conditionalFormatting sqref="D48">
    <cfRule type="expression" dxfId="3658" priority="8">
      <formula>$G48="réalisé"</formula>
    </cfRule>
    <cfRule type="expression" dxfId="3657" priority="9">
      <formula>$G48="en cours"</formula>
    </cfRule>
    <cfRule type="expression" dxfId="3656" priority="10">
      <formula>$G48="non compris"</formula>
    </cfRule>
  </conditionalFormatting>
  <conditionalFormatting sqref="D51">
    <cfRule type="expression" dxfId="3655" priority="5">
      <formula>$G51="réalisé"</formula>
    </cfRule>
    <cfRule type="expression" dxfId="3654" priority="6">
      <formula>$G51="en cours"</formula>
    </cfRule>
    <cfRule type="expression" dxfId="3653" priority="7">
      <formula>$G51="non compris"</formula>
    </cfRule>
  </conditionalFormatting>
  <conditionalFormatting sqref="D8:D26">
    <cfRule type="expression" dxfId="3652" priority="1">
      <formula>$D$8="NON CONCERNÉ"</formula>
    </cfRule>
  </conditionalFormatting>
  <dataValidations count="4">
    <dataValidation type="list" allowBlank="1" showInputMessage="1" showErrorMessage="1" sqref="F52">
      <formula1>$L$8:$L$15</formula1>
    </dataValidation>
    <dataValidation type="list" showInputMessage="1" showErrorMessage="1" sqref="D48:D51 D29:D45 D8:D26">
      <formula1>Entreprises</formula1>
    </dataValidation>
    <dataValidation type="list" showInputMessage="1" showErrorMessage="1" sqref="G48:G51 G29:G45 G8:G26">
      <formula1>Avancement</formula1>
    </dataValidation>
    <dataValidation type="list" allowBlank="1" showInputMessage="1" showErrorMessage="1" sqref="C4">
      <formula1>Commercial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5" max="16383" man="1"/>
  </rowBreaks>
  <colBreaks count="1" manualBreakCount="1">
    <brk id="9" max="1048575" man="1"/>
  </colBreaks>
  <ignoredErrors>
    <ignoredError sqref="E25 E19:E24" unlockedFormula="1"/>
    <ignoredError sqref="E10:E12" formula="1"/>
  </ignoredErrors>
  <drawing r:id="rId2"/>
  <tableParts count="4"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/>
  <dimension ref="A1:H1394"/>
  <sheetViews>
    <sheetView tabSelected="1" showWhiteSpace="0" zoomScaleNormal="100" zoomScaleSheetLayoutView="68" zoomScalePageLayoutView="75" workbookViewId="0">
      <selection activeCell="E825" sqref="E825"/>
    </sheetView>
  </sheetViews>
  <sheetFormatPr baseColWidth="10" defaultRowHeight="15" x14ac:dyDescent="0.25"/>
  <cols>
    <col min="1" max="1" width="26.7109375" style="111" customWidth="1"/>
    <col min="2" max="2" width="24.7109375" style="109" customWidth="1"/>
    <col min="3" max="3" width="39.7109375" customWidth="1"/>
    <col min="4" max="4" width="45.7109375" customWidth="1"/>
    <col min="5" max="5" width="15.42578125" style="347" customWidth="1"/>
    <col min="6" max="6" width="19" style="347" customWidth="1"/>
    <col min="7" max="7" width="27" style="111" customWidth="1"/>
  </cols>
  <sheetData>
    <row r="1" spans="1:8" ht="15" customHeight="1" x14ac:dyDescent="0.25">
      <c r="C1" s="401" t="s">
        <v>80</v>
      </c>
      <c r="D1" s="402"/>
    </row>
    <row r="2" spans="1:8" ht="6.75" customHeight="1" x14ac:dyDescent="0.25">
      <c r="C2" s="403"/>
      <c r="D2" s="404"/>
    </row>
    <row r="3" spans="1:8" ht="27" customHeight="1" thickBot="1" x14ac:dyDescent="0.3">
      <c r="C3" s="405"/>
      <c r="D3" s="406"/>
    </row>
    <row r="4" spans="1:8" ht="27" customHeight="1" thickBot="1" x14ac:dyDescent="0.3">
      <c r="C4" s="121" t="s">
        <v>1</v>
      </c>
      <c r="D4" s="113">
        <f ca="1">INT(MOD(INT((LISTE!D1-2)/7)+0.6,52+5/28))+1</f>
        <v>41</v>
      </c>
    </row>
    <row r="5" spans="1:8" ht="15" customHeight="1" x14ac:dyDescent="0.25">
      <c r="C5" s="121"/>
      <c r="H5" s="108"/>
    </row>
    <row r="6" spans="1:8" ht="10.5" customHeight="1" x14ac:dyDescent="0.25">
      <c r="C6" s="109"/>
      <c r="D6" s="109"/>
      <c r="E6" s="348"/>
      <c r="F6" s="348"/>
    </row>
    <row r="7" spans="1:8" ht="21.75" customHeight="1" x14ac:dyDescent="0.4">
      <c r="B7" s="114" t="s">
        <v>115</v>
      </c>
      <c r="C7" s="114"/>
      <c r="D7" s="342" t="s">
        <v>225</v>
      </c>
      <c r="E7" s="141"/>
      <c r="F7" s="348"/>
    </row>
    <row r="8" spans="1:8" ht="16.5" customHeight="1" x14ac:dyDescent="0.3">
      <c r="C8" s="110"/>
      <c r="D8" s="109"/>
      <c r="E8" s="348"/>
      <c r="F8" s="348"/>
    </row>
    <row r="9" spans="1:8" s="138" customFormat="1" ht="16.5" customHeight="1" x14ac:dyDescent="0.25">
      <c r="A9" s="369" t="s">
        <v>78</v>
      </c>
      <c r="B9" s="369" t="s">
        <v>294</v>
      </c>
      <c r="C9" s="141" t="s">
        <v>79</v>
      </c>
      <c r="D9" s="112" t="s">
        <v>375</v>
      </c>
      <c r="E9" s="348" t="s">
        <v>352</v>
      </c>
      <c r="F9" s="348" t="s">
        <v>369</v>
      </c>
      <c r="G9" s="141" t="s">
        <v>126</v>
      </c>
    </row>
    <row r="10" spans="1:8" ht="16.5" customHeight="1" x14ac:dyDescent="0.25">
      <c r="A10" s="111" t="s">
        <v>213</v>
      </c>
      <c r="B10" s="111" t="s">
        <v>125</v>
      </c>
      <c r="C10" s="342" t="s">
        <v>283</v>
      </c>
      <c r="D10" s="115"/>
      <c r="E10" s="348">
        <f ca="1">INT(MOD(INT((LISTE!D1-2)/7)+0.6,52+5/28))+1</f>
        <v>41</v>
      </c>
      <c r="F10" s="348"/>
      <c r="G10" s="354"/>
    </row>
    <row r="11" spans="1:8" x14ac:dyDescent="0.25">
      <c r="A11" s="116" t="s">
        <v>278</v>
      </c>
      <c r="B11" s="136" t="s">
        <v>274</v>
      </c>
      <c r="C11" s="152" t="s">
        <v>332</v>
      </c>
      <c r="D11" s="117"/>
      <c r="E11" s="348">
        <f ca="1">INT(MOD(INT((LISTE!D1-2)/7)+0.6,52+5/28))+1</f>
        <v>41</v>
      </c>
      <c r="F11" s="349"/>
      <c r="G11" s="355"/>
    </row>
    <row r="12" spans="1:8" x14ac:dyDescent="0.25">
      <c r="A12" s="116" t="s">
        <v>259</v>
      </c>
      <c r="B12" s="136" t="s">
        <v>295</v>
      </c>
      <c r="C12" s="147" t="s">
        <v>290</v>
      </c>
      <c r="D12" s="117"/>
      <c r="E12" s="348">
        <f ca="1">INT(MOD(INT((LISTE!D1-2)/7)+0.6,52+5/28))+1</f>
        <v>41</v>
      </c>
      <c r="F12" s="349"/>
      <c r="G12" s="355"/>
    </row>
    <row r="13" spans="1:8" x14ac:dyDescent="0.25">
      <c r="A13" s="116" t="s">
        <v>279</v>
      </c>
      <c r="B13" s="136" t="s">
        <v>277</v>
      </c>
      <c r="C13" s="147" t="s">
        <v>290</v>
      </c>
      <c r="D13" s="117"/>
      <c r="E13" s="348">
        <f ca="1">INT(MOD(INT((LISTE!D1-2)/7)+0.6,52+5/28))+1</f>
        <v>41</v>
      </c>
      <c r="F13" s="349"/>
      <c r="G13" s="355"/>
    </row>
    <row r="14" spans="1:8" x14ac:dyDescent="0.25">
      <c r="A14" s="116" t="s">
        <v>179</v>
      </c>
      <c r="B14" s="136" t="s">
        <v>296</v>
      </c>
      <c r="C14" s="147" t="s">
        <v>260</v>
      </c>
      <c r="D14" s="117"/>
      <c r="E14" s="348">
        <f ca="1">INT(MOD(INT((LISTE!D1-2)/7)+0.6,52+5/28))+1</f>
        <v>41</v>
      </c>
      <c r="F14" s="349"/>
      <c r="G14" s="355"/>
    </row>
    <row r="15" spans="1:8" x14ac:dyDescent="0.25">
      <c r="A15" s="116" t="s">
        <v>197</v>
      </c>
      <c r="B15" s="136" t="s">
        <v>234</v>
      </c>
      <c r="C15" s="147" t="s">
        <v>291</v>
      </c>
      <c r="D15" s="117"/>
      <c r="E15" s="348">
        <f ca="1">INT(MOD(INT((LISTE!D1-2)/7)+0.6,52+5/28))+1</f>
        <v>41</v>
      </c>
      <c r="F15" s="349"/>
      <c r="G15" s="355"/>
    </row>
    <row r="16" spans="1:8" x14ac:dyDescent="0.25">
      <c r="A16" s="116" t="s">
        <v>280</v>
      </c>
      <c r="B16" s="136" t="s">
        <v>289</v>
      </c>
      <c r="C16" s="147" t="s">
        <v>263</v>
      </c>
      <c r="D16" s="117"/>
      <c r="E16" s="348">
        <f ca="1">INT(MOD(INT((LISTE!D1-2)/7)+0.6,52+5/28))+1</f>
        <v>41</v>
      </c>
      <c r="F16" s="349"/>
      <c r="G16" s="355"/>
    </row>
    <row r="17" spans="1:7" x14ac:dyDescent="0.25">
      <c r="A17" s="116" t="s">
        <v>198</v>
      </c>
      <c r="B17" s="136" t="s">
        <v>297</v>
      </c>
      <c r="C17" s="147" t="s">
        <v>290</v>
      </c>
      <c r="D17" s="117"/>
      <c r="E17" s="348">
        <f ca="1">INT(MOD(INT((LISTE!D1-2)/7)+0.6,52+5/28))+1</f>
        <v>41</v>
      </c>
      <c r="F17" s="349"/>
      <c r="G17" s="355"/>
    </row>
    <row r="18" spans="1:7" x14ac:dyDescent="0.25">
      <c r="A18" s="116" t="s">
        <v>281</v>
      </c>
      <c r="B18" s="136" t="s">
        <v>298</v>
      </c>
      <c r="C18" s="147" t="s">
        <v>290</v>
      </c>
      <c r="D18" s="117"/>
      <c r="E18" s="348">
        <f ca="1">INT(MOD(INT((LISTE!D1-2)/7)+0.6,52+5/28))+1</f>
        <v>41</v>
      </c>
      <c r="F18" s="349"/>
      <c r="G18" s="355"/>
    </row>
    <row r="19" spans="1:7" x14ac:dyDescent="0.25">
      <c r="A19" s="116" t="s">
        <v>199</v>
      </c>
      <c r="B19" s="136" t="s">
        <v>187</v>
      </c>
      <c r="C19" s="147" t="s">
        <v>284</v>
      </c>
      <c r="D19" s="117"/>
      <c r="E19" s="348">
        <f ca="1">INT(MOD(INT((LISTE!D1-2)/7)+0.6,52+5/28))+1</f>
        <v>41</v>
      </c>
      <c r="F19" s="349"/>
      <c r="G19" s="355"/>
    </row>
    <row r="20" spans="1:7" x14ac:dyDescent="0.25">
      <c r="A20" s="116" t="s">
        <v>256</v>
      </c>
      <c r="B20" s="136" t="s">
        <v>299</v>
      </c>
      <c r="C20" s="147" t="s">
        <v>285</v>
      </c>
      <c r="D20" s="117"/>
      <c r="E20" s="348">
        <f ca="1">INT(MOD(INT((LISTE!D1-2)/7)+0.6,52+5/28))+1</f>
        <v>41</v>
      </c>
      <c r="F20" s="349"/>
      <c r="G20" s="355"/>
    </row>
    <row r="21" spans="1:7" x14ac:dyDescent="0.25">
      <c r="A21" s="116" t="s">
        <v>357</v>
      </c>
      <c r="B21" s="160" t="s">
        <v>358</v>
      </c>
      <c r="C21" s="343" t="s">
        <v>367</v>
      </c>
      <c r="D21" s="343"/>
      <c r="E21" s="348">
        <f ca="1">INT(MOD(INT((LISTE!D1-2)/7)+0.6,52+5/28))+1</f>
        <v>41</v>
      </c>
      <c r="F21" s="349"/>
      <c r="G21" s="355"/>
    </row>
    <row r="22" spans="1:7" x14ac:dyDescent="0.25">
      <c r="A22" s="116" t="s">
        <v>200</v>
      </c>
      <c r="B22" s="136" t="s">
        <v>235</v>
      </c>
      <c r="C22" s="147" t="s">
        <v>286</v>
      </c>
      <c r="D22" s="343"/>
      <c r="E22" s="348">
        <f ca="1">INT(MOD(INT((LISTE!D1-2)/7)+0.6,52+5/28))+1</f>
        <v>41</v>
      </c>
      <c r="F22" s="349"/>
      <c r="G22" s="355"/>
    </row>
    <row r="23" spans="1:7" x14ac:dyDescent="0.25">
      <c r="A23" s="116" t="s">
        <v>161</v>
      </c>
      <c r="B23" s="136" t="s">
        <v>297</v>
      </c>
      <c r="C23" s="147" t="s">
        <v>221</v>
      </c>
      <c r="D23" s="343"/>
      <c r="E23" s="348">
        <f ca="1">INT(MOD(INT((LISTE!D1-2)/7)+0.6,52+5/28))+1</f>
        <v>41</v>
      </c>
      <c r="F23" s="349"/>
      <c r="G23" s="355"/>
    </row>
    <row r="24" spans="1:7" x14ac:dyDescent="0.25">
      <c r="A24" s="116" t="s">
        <v>185</v>
      </c>
      <c r="B24" s="136" t="s">
        <v>300</v>
      </c>
      <c r="C24" s="147" t="s">
        <v>284</v>
      </c>
      <c r="D24" s="343"/>
      <c r="E24" s="348">
        <f ca="1">INT(MOD(INT((LISTE!D1-2)/7)+0.6,52+5/28))+1</f>
        <v>41</v>
      </c>
      <c r="F24" s="349"/>
      <c r="G24" s="355"/>
    </row>
    <row r="25" spans="1:7" x14ac:dyDescent="0.25">
      <c r="A25" s="116" t="s">
        <v>162</v>
      </c>
      <c r="B25" s="136" t="s">
        <v>159</v>
      </c>
      <c r="C25" s="147" t="s">
        <v>221</v>
      </c>
      <c r="D25" s="343"/>
      <c r="E25" s="348">
        <f ca="1">INT(MOD(INT((LISTE!D1-2)/7)+0.6,52+5/28))+1</f>
        <v>41</v>
      </c>
      <c r="F25" s="349"/>
      <c r="G25" s="355"/>
    </row>
    <row r="26" spans="1:7" x14ac:dyDescent="0.25">
      <c r="A26" s="116" t="s">
        <v>152</v>
      </c>
      <c r="B26" s="136" t="s">
        <v>151</v>
      </c>
      <c r="C26" s="147" t="s">
        <v>215</v>
      </c>
      <c r="D26" s="343"/>
      <c r="E26" s="348">
        <f ca="1">INT(MOD(INT((LISTE!D1-2)/7)+0.6,52+5/28))+1</f>
        <v>41</v>
      </c>
      <c r="F26" s="349"/>
      <c r="G26" s="355"/>
    </row>
    <row r="27" spans="1:7" x14ac:dyDescent="0.25">
      <c r="A27" s="116" t="s">
        <v>218</v>
      </c>
      <c r="B27" s="136" t="s">
        <v>216</v>
      </c>
      <c r="C27" s="147" t="s">
        <v>284</v>
      </c>
      <c r="D27" s="343"/>
      <c r="E27" s="348">
        <f ca="1">INT(MOD(INT((LISTE!D1-2)/7)+0.6,52+5/28))+1</f>
        <v>41</v>
      </c>
      <c r="F27" s="349"/>
      <c r="G27" s="355"/>
    </row>
    <row r="28" spans="1:7" x14ac:dyDescent="0.25">
      <c r="A28" s="116" t="s">
        <v>163</v>
      </c>
      <c r="B28" s="136" t="s">
        <v>157</v>
      </c>
      <c r="C28" s="343" t="s">
        <v>291</v>
      </c>
      <c r="D28" s="343"/>
      <c r="E28" s="348">
        <f ca="1">INT(MOD(INT((LISTE!D1-2)/7)+0.6,52+5/28))+1</f>
        <v>41</v>
      </c>
      <c r="F28" s="349"/>
      <c r="G28" s="355"/>
    </row>
    <row r="29" spans="1:7" x14ac:dyDescent="0.25">
      <c r="A29" s="136" t="s">
        <v>153</v>
      </c>
      <c r="B29" s="136" t="s">
        <v>125</v>
      </c>
      <c r="C29" s="272" t="s">
        <v>260</v>
      </c>
      <c r="D29" s="343"/>
      <c r="E29" s="348">
        <f ca="1">INT(MOD(INT((LISTE!D1-2)/7)+0.6,52+5/28))+1</f>
        <v>41</v>
      </c>
      <c r="F29" s="349"/>
      <c r="G29" s="355"/>
    </row>
    <row r="30" spans="1:7" x14ac:dyDescent="0.25">
      <c r="A30" s="136" t="s">
        <v>201</v>
      </c>
      <c r="B30" s="136" t="s">
        <v>212</v>
      </c>
      <c r="C30" s="272" t="s">
        <v>292</v>
      </c>
      <c r="D30" s="343"/>
      <c r="E30" s="348">
        <f ca="1">INT(MOD(INT((LISTE!D1-2)/7)+0.6,52+5/28))+1</f>
        <v>41</v>
      </c>
      <c r="F30" s="349"/>
      <c r="G30" s="355"/>
    </row>
    <row r="31" spans="1:7" x14ac:dyDescent="0.25">
      <c r="A31" s="136" t="s">
        <v>180</v>
      </c>
      <c r="B31" s="136" t="s">
        <v>151</v>
      </c>
      <c r="C31" s="273" t="s">
        <v>291</v>
      </c>
      <c r="D31" s="343"/>
      <c r="E31" s="348">
        <f ca="1">INT(MOD(INT((LISTE!D1-2)/7)+0.6,52+5/28))+1</f>
        <v>41</v>
      </c>
      <c r="F31" s="349"/>
      <c r="G31" s="355"/>
    </row>
    <row r="32" spans="1:7" x14ac:dyDescent="0.25">
      <c r="A32" s="136" t="s">
        <v>214</v>
      </c>
      <c r="B32" s="136" t="s">
        <v>211</v>
      </c>
      <c r="C32" s="273" t="s">
        <v>284</v>
      </c>
      <c r="D32" s="343"/>
      <c r="E32" s="348">
        <f ca="1">INT(MOD(INT((LISTE!D1-2)/7)+0.6,52+5/28))+1</f>
        <v>41</v>
      </c>
      <c r="F32" s="349"/>
      <c r="G32" s="355"/>
    </row>
    <row r="33" spans="1:7" x14ac:dyDescent="0.25">
      <c r="A33" s="136" t="s">
        <v>202</v>
      </c>
      <c r="B33" s="136" t="s">
        <v>195</v>
      </c>
      <c r="C33" s="137" t="s">
        <v>331</v>
      </c>
      <c r="D33" s="343"/>
      <c r="E33" s="348">
        <f ca="1">INT(MOD(INT((LISTE!D1-2)/7)+0.6,52+5/28))+1</f>
        <v>41</v>
      </c>
      <c r="F33" s="349"/>
      <c r="G33" s="355"/>
    </row>
    <row r="34" spans="1:7" x14ac:dyDescent="0.25">
      <c r="A34" s="136" t="s">
        <v>282</v>
      </c>
      <c r="B34" s="160" t="s">
        <v>273</v>
      </c>
      <c r="C34" s="137" t="s">
        <v>332</v>
      </c>
      <c r="D34" s="343"/>
      <c r="E34" s="348">
        <f ca="1">INT(MOD(INT((LISTE!D1-2)/7)+0.6,52+5/28))+1</f>
        <v>41</v>
      </c>
      <c r="F34" s="349"/>
      <c r="G34" s="355"/>
    </row>
    <row r="35" spans="1:7" x14ac:dyDescent="0.25">
      <c r="A35" s="160" t="s">
        <v>363</v>
      </c>
      <c r="B35" s="160" t="s">
        <v>366</v>
      </c>
      <c r="C35" s="343" t="s">
        <v>367</v>
      </c>
      <c r="D35" s="343"/>
      <c r="E35" s="348">
        <f ca="1">INT(MOD(INT((LISTE!D1-2)/7)+0.6,52+5/28))+1</f>
        <v>41</v>
      </c>
      <c r="F35" s="348"/>
      <c r="G35" s="356"/>
    </row>
    <row r="36" spans="1:7" x14ac:dyDescent="0.25">
      <c r="A36" s="160" t="s">
        <v>364</v>
      </c>
      <c r="B36" s="136" t="s">
        <v>365</v>
      </c>
      <c r="C36" s="343" t="s">
        <v>368</v>
      </c>
      <c r="D36" s="343"/>
      <c r="E36" s="348">
        <f ca="1">INT(MOD(INT((LISTE!D1-2)/7)+0.6,52+5/28))+1</f>
        <v>41</v>
      </c>
      <c r="F36" s="348"/>
      <c r="G36" s="356"/>
    </row>
    <row r="37" spans="1:7" x14ac:dyDescent="0.25">
      <c r="A37" s="160" t="s">
        <v>181</v>
      </c>
      <c r="B37" s="136" t="s">
        <v>301</v>
      </c>
      <c r="C37" s="137" t="s">
        <v>293</v>
      </c>
      <c r="D37" s="343"/>
      <c r="E37" s="348">
        <f ca="1">INT(MOD(INT((LISTE!D1-2)/7)+0.6,52+5/28))+1</f>
        <v>41</v>
      </c>
      <c r="F37" s="348"/>
      <c r="G37" s="356"/>
    </row>
    <row r="38" spans="1:7" x14ac:dyDescent="0.25">
      <c r="A38" s="160" t="s">
        <v>164</v>
      </c>
      <c r="B38" s="160" t="s">
        <v>155</v>
      </c>
      <c r="C38" s="137" t="s">
        <v>260</v>
      </c>
      <c r="D38" s="343"/>
      <c r="E38" s="348">
        <f ca="1">INT(MOD(INT((LISTE!D1-2)/7)+0.6,52+5/28))+1</f>
        <v>41</v>
      </c>
      <c r="F38" s="348"/>
      <c r="G38" s="356"/>
    </row>
    <row r="39" spans="1:7" x14ac:dyDescent="0.25">
      <c r="A39" s="160" t="s">
        <v>248</v>
      </c>
      <c r="B39" s="160" t="s">
        <v>243</v>
      </c>
      <c r="C39" s="343" t="s">
        <v>290</v>
      </c>
      <c r="D39" s="343"/>
      <c r="E39" s="348">
        <f ca="1">INT(MOD(INT((LISTE!D1-2)/7)+0.6,52+5/28))+1</f>
        <v>41</v>
      </c>
      <c r="F39" s="348"/>
      <c r="G39" s="356"/>
    </row>
    <row r="40" spans="1:7" x14ac:dyDescent="0.25">
      <c r="A40" s="160"/>
      <c r="B40" s="343"/>
      <c r="C40" s="343"/>
      <c r="D40" s="148"/>
      <c r="E40" s="348"/>
      <c r="F40" s="348"/>
    </row>
    <row r="41" spans="1:7" x14ac:dyDescent="0.25">
      <c r="F41" s="348"/>
    </row>
    <row r="44" spans="1:7" x14ac:dyDescent="0.25">
      <c r="A44" s="407" t="s">
        <v>373</v>
      </c>
      <c r="B44" s="407"/>
      <c r="C44" s="407"/>
      <c r="D44" s="407"/>
      <c r="E44" s="407"/>
      <c r="F44" s="407"/>
      <c r="G44" s="407"/>
    </row>
    <row r="45" spans="1:7" ht="15.75" thickBot="1" x14ac:dyDescent="0.3">
      <c r="A45" s="407" t="s">
        <v>374</v>
      </c>
      <c r="B45" s="407"/>
      <c r="C45" s="407"/>
      <c r="D45" s="407"/>
      <c r="E45" s="407"/>
      <c r="F45" s="407"/>
      <c r="G45" s="407"/>
    </row>
    <row r="46" spans="1:7" ht="15" customHeight="1" x14ac:dyDescent="0.25">
      <c r="C46" s="401" t="s">
        <v>80</v>
      </c>
      <c r="D46" s="402"/>
    </row>
    <row r="47" spans="1:7" ht="6.75" customHeight="1" x14ac:dyDescent="0.25">
      <c r="C47" s="403"/>
      <c r="D47" s="404"/>
    </row>
    <row r="48" spans="1:7" ht="27" customHeight="1" thickBot="1" x14ac:dyDescent="0.3">
      <c r="C48" s="405"/>
      <c r="D48" s="406"/>
    </row>
    <row r="49" spans="1:8" ht="27" customHeight="1" thickBot="1" x14ac:dyDescent="0.3">
      <c r="C49" s="121" t="s">
        <v>1</v>
      </c>
      <c r="D49" s="113">
        <f ca="1">D4</f>
        <v>41</v>
      </c>
    </row>
    <row r="50" spans="1:8" ht="15" customHeight="1" x14ac:dyDescent="0.25">
      <c r="C50" s="121"/>
      <c r="H50" s="120"/>
    </row>
    <row r="51" spans="1:8" ht="10.5" customHeight="1" x14ac:dyDescent="0.25">
      <c r="C51" s="109"/>
      <c r="D51" s="109"/>
      <c r="E51" s="348"/>
      <c r="F51" s="348"/>
    </row>
    <row r="52" spans="1:8" ht="21.75" customHeight="1" x14ac:dyDescent="0.4">
      <c r="B52" s="114" t="s">
        <v>77</v>
      </c>
      <c r="C52" s="114" t="s">
        <v>58</v>
      </c>
      <c r="D52" s="342" t="s">
        <v>83</v>
      </c>
      <c r="E52" s="141"/>
      <c r="F52" s="348"/>
    </row>
    <row r="53" spans="1:8" ht="16.5" customHeight="1" x14ac:dyDescent="0.3">
      <c r="C53" s="110"/>
      <c r="D53" s="109"/>
      <c r="E53" s="348"/>
      <c r="F53" s="348"/>
    </row>
    <row r="54" spans="1:8" s="138" customFormat="1" ht="16.5" customHeight="1" x14ac:dyDescent="0.25">
      <c r="A54" s="369" t="s">
        <v>78</v>
      </c>
      <c r="B54" s="369" t="s">
        <v>294</v>
      </c>
      <c r="C54" s="141" t="s">
        <v>79</v>
      </c>
      <c r="D54" s="112" t="s">
        <v>375</v>
      </c>
      <c r="E54" s="348" t="s">
        <v>352</v>
      </c>
      <c r="F54" s="348" t="s">
        <v>369</v>
      </c>
      <c r="G54" s="141" t="s">
        <v>126</v>
      </c>
    </row>
    <row r="55" spans="1:8" ht="16.5" customHeight="1" x14ac:dyDescent="0.25">
      <c r="A55" s="111" t="s">
        <v>213</v>
      </c>
      <c r="B55" s="111" t="str">
        <f t="shared" ref="B55:B84" si="0">B10</f>
        <v>PFETTISHEIM</v>
      </c>
      <c r="C55" s="342" t="str">
        <f t="shared" ref="C55:C84" si="1">C10</f>
        <v>pignons</v>
      </c>
      <c r="D55" s="140"/>
      <c r="E55" s="348"/>
      <c r="F55" s="348"/>
      <c r="G55" s="357"/>
    </row>
    <row r="56" spans="1:8" x14ac:dyDescent="0.25">
      <c r="A56" s="116" t="s">
        <v>278</v>
      </c>
      <c r="B56" s="116" t="str">
        <f t="shared" si="0"/>
        <v>BLIENSCHWILLER</v>
      </c>
      <c r="C56" s="342" t="str">
        <f t="shared" si="1"/>
        <v>fondations</v>
      </c>
      <c r="D56" s="117"/>
      <c r="E56" s="348"/>
      <c r="F56" s="349"/>
      <c r="G56" s="162"/>
    </row>
    <row r="57" spans="1:8" x14ac:dyDescent="0.25">
      <c r="A57" s="116" t="s">
        <v>259</v>
      </c>
      <c r="B57" s="116" t="str">
        <f t="shared" si="0"/>
        <v>BERSTHEIM</v>
      </c>
      <c r="C57" s="342" t="str">
        <f t="shared" si="1"/>
        <v>dalle basse RDC</v>
      </c>
      <c r="D57" s="117"/>
      <c r="E57" s="348"/>
      <c r="F57" s="349"/>
      <c r="G57" s="355"/>
    </row>
    <row r="58" spans="1:8" x14ac:dyDescent="0.25">
      <c r="A58" s="116" t="s">
        <v>279</v>
      </c>
      <c r="B58" s="116" t="str">
        <f t="shared" si="0"/>
        <v>FRIEDOLSHEIM</v>
      </c>
      <c r="C58" s="342" t="str">
        <f t="shared" si="1"/>
        <v>dalle basse RDC</v>
      </c>
      <c r="D58" s="117" t="s">
        <v>303</v>
      </c>
      <c r="E58" s="348" t="s">
        <v>7</v>
      </c>
      <c r="F58" s="349"/>
      <c r="G58" s="355" t="s">
        <v>314</v>
      </c>
    </row>
    <row r="59" spans="1:8" x14ac:dyDescent="0.25">
      <c r="A59" s="116" t="s">
        <v>179</v>
      </c>
      <c r="B59" s="116" t="str">
        <f t="shared" si="0"/>
        <v>GERTSHEIM</v>
      </c>
      <c r="C59" s="342" t="str">
        <f t="shared" si="1"/>
        <v>à receptionner</v>
      </c>
      <c r="D59" s="117"/>
      <c r="E59" s="348"/>
      <c r="F59" s="349"/>
      <c r="G59" s="355"/>
    </row>
    <row r="60" spans="1:8" x14ac:dyDescent="0.25">
      <c r="A60" s="116" t="s">
        <v>197</v>
      </c>
      <c r="B60" s="116" t="str">
        <f t="shared" si="0"/>
        <v>STRASBOURG</v>
      </c>
      <c r="C60" s="342" t="str">
        <f t="shared" si="1"/>
        <v>chape s42</v>
      </c>
      <c r="D60" s="117"/>
      <c r="E60" s="348"/>
      <c r="F60" s="349"/>
      <c r="G60" s="355"/>
    </row>
    <row r="61" spans="1:8" x14ac:dyDescent="0.25">
      <c r="A61" s="116" t="s">
        <v>280</v>
      </c>
      <c r="B61" s="116" t="str">
        <f t="shared" si="0"/>
        <v>HENGWILLER</v>
      </c>
      <c r="C61" s="342" t="str">
        <f t="shared" si="1"/>
        <v>soubassement</v>
      </c>
      <c r="D61" s="117"/>
      <c r="E61" s="348"/>
      <c r="F61" s="349"/>
      <c r="G61" s="355"/>
    </row>
    <row r="62" spans="1:8" x14ac:dyDescent="0.25">
      <c r="A62" s="116" t="s">
        <v>198</v>
      </c>
      <c r="B62" s="116" t="str">
        <f t="shared" si="0"/>
        <v>HANGENBIENTEN</v>
      </c>
      <c r="C62" s="342" t="str">
        <f t="shared" si="1"/>
        <v>dalle basse RDC</v>
      </c>
      <c r="D62" s="117"/>
      <c r="E62" s="348"/>
      <c r="F62" s="349"/>
      <c r="G62" s="355"/>
    </row>
    <row r="63" spans="1:8" x14ac:dyDescent="0.25">
      <c r="A63" s="116" t="s">
        <v>281</v>
      </c>
      <c r="B63" s="116" t="str">
        <f t="shared" si="0"/>
        <v>OBERHOFFEN</v>
      </c>
      <c r="C63" s="342" t="str">
        <f t="shared" si="1"/>
        <v>dalle basse RDC</v>
      </c>
      <c r="D63" s="117"/>
      <c r="E63" s="348"/>
      <c r="F63" s="349"/>
      <c r="G63" s="355"/>
    </row>
    <row r="64" spans="1:8" x14ac:dyDescent="0.25">
      <c r="A64" s="116" t="s">
        <v>199</v>
      </c>
      <c r="B64" s="116" t="str">
        <f t="shared" si="0"/>
        <v>EBERSHEIM</v>
      </c>
      <c r="C64" s="342" t="str">
        <f t="shared" si="1"/>
        <v>couvert</v>
      </c>
      <c r="D64" s="117"/>
      <c r="E64" s="348"/>
      <c r="F64" s="349"/>
      <c r="G64" s="355"/>
    </row>
    <row r="65" spans="1:7" x14ac:dyDescent="0.25">
      <c r="A65" s="116" t="s">
        <v>256</v>
      </c>
      <c r="B65" s="116" t="str">
        <f t="shared" si="0"/>
        <v>DINSHEIM S/ BRUCHE</v>
      </c>
      <c r="C65" s="342" t="str">
        <f t="shared" si="1"/>
        <v>GO fini</v>
      </c>
      <c r="D65" s="117"/>
      <c r="E65" s="348"/>
      <c r="F65" s="349"/>
      <c r="G65" s="355"/>
    </row>
    <row r="66" spans="1:7" x14ac:dyDescent="0.25">
      <c r="A66" s="116" t="s">
        <v>357</v>
      </c>
      <c r="B66" s="116" t="str">
        <f t="shared" si="0"/>
        <v>MOLSHEIM</v>
      </c>
      <c r="C66" s="342" t="str">
        <f t="shared" si="1"/>
        <v>marchés en cours</v>
      </c>
      <c r="D66" s="117"/>
      <c r="E66" s="348"/>
      <c r="F66" s="349"/>
      <c r="G66" s="355"/>
    </row>
    <row r="67" spans="1:7" x14ac:dyDescent="0.25">
      <c r="A67" s="116" t="s">
        <v>200</v>
      </c>
      <c r="B67" s="116" t="str">
        <f t="shared" si="0"/>
        <v>KLEINFRANKENHEIM</v>
      </c>
      <c r="C67" s="342" t="str">
        <f t="shared" si="1"/>
        <v>second œuvre en cours charge client</v>
      </c>
      <c r="D67" s="117"/>
      <c r="E67" s="348"/>
      <c r="F67" s="349"/>
      <c r="G67" s="355"/>
    </row>
    <row r="68" spans="1:7" x14ac:dyDescent="0.25">
      <c r="A68" s="116" t="s">
        <v>161</v>
      </c>
      <c r="B68" s="116" t="str">
        <f t="shared" si="0"/>
        <v>HANGENBIENTEN</v>
      </c>
      <c r="C68" s="342" t="str">
        <f t="shared" si="1"/>
        <v>chape</v>
      </c>
      <c r="D68" s="343" t="s">
        <v>303</v>
      </c>
      <c r="E68" s="348" t="s">
        <v>7</v>
      </c>
      <c r="F68" s="348"/>
      <c r="G68" s="355" t="s">
        <v>315</v>
      </c>
    </row>
    <row r="69" spans="1:7" x14ac:dyDescent="0.25">
      <c r="A69" s="116" t="s">
        <v>185</v>
      </c>
      <c r="B69" s="116" t="str">
        <f t="shared" si="0"/>
        <v>PETERSBACH</v>
      </c>
      <c r="C69" s="342" t="str">
        <f t="shared" si="1"/>
        <v>couvert</v>
      </c>
      <c r="D69" s="117" t="s">
        <v>304</v>
      </c>
      <c r="E69" s="348" t="s">
        <v>353</v>
      </c>
      <c r="F69" s="349"/>
      <c r="G69" s="355"/>
    </row>
    <row r="70" spans="1:7" x14ac:dyDescent="0.25">
      <c r="A70" s="116" t="s">
        <v>162</v>
      </c>
      <c r="B70" s="116" t="str">
        <f t="shared" si="0"/>
        <v>ENTZHEIM</v>
      </c>
      <c r="C70" s="342" t="str">
        <f t="shared" si="1"/>
        <v>chape</v>
      </c>
      <c r="D70" s="117"/>
      <c r="E70" s="348"/>
      <c r="F70" s="349"/>
      <c r="G70" s="355"/>
    </row>
    <row r="71" spans="1:7" x14ac:dyDescent="0.25">
      <c r="A71" s="116" t="s">
        <v>152</v>
      </c>
      <c r="B71" s="116" t="str">
        <f t="shared" si="0"/>
        <v>KILSTETT</v>
      </c>
      <c r="C71" s="342" t="str">
        <f t="shared" si="1"/>
        <v>chantier en arrêt</v>
      </c>
      <c r="D71" s="117"/>
      <c r="E71" s="348"/>
      <c r="F71" s="349"/>
      <c r="G71" s="355"/>
    </row>
    <row r="72" spans="1:7" x14ac:dyDescent="0.25">
      <c r="A72" s="116" t="s">
        <v>218</v>
      </c>
      <c r="B72" s="116" t="str">
        <f t="shared" si="0"/>
        <v>ESCHBACH</v>
      </c>
      <c r="C72" s="342" t="str">
        <f t="shared" si="1"/>
        <v>couvert</v>
      </c>
      <c r="D72" s="117"/>
      <c r="E72" s="348"/>
      <c r="F72" s="349"/>
      <c r="G72" s="355"/>
    </row>
    <row r="73" spans="1:7" x14ac:dyDescent="0.25">
      <c r="A73" s="116" t="s">
        <v>163</v>
      </c>
      <c r="B73" s="116" t="str">
        <f t="shared" si="0"/>
        <v>BISCHWILLER</v>
      </c>
      <c r="C73" s="342" t="str">
        <f t="shared" si="1"/>
        <v>chape s42</v>
      </c>
      <c r="D73" s="117"/>
      <c r="E73" s="348"/>
      <c r="F73" s="349"/>
      <c r="G73" s="355"/>
    </row>
    <row r="74" spans="1:7" x14ac:dyDescent="0.25">
      <c r="A74" s="116" t="s">
        <v>153</v>
      </c>
      <c r="B74" s="116" t="str">
        <f t="shared" si="0"/>
        <v>PFETTISHEIM</v>
      </c>
      <c r="C74" s="342" t="str">
        <f t="shared" si="1"/>
        <v>à receptionner</v>
      </c>
      <c r="D74" s="117"/>
      <c r="E74" s="348"/>
      <c r="F74" s="349"/>
      <c r="G74" s="355"/>
    </row>
    <row r="75" spans="1:7" x14ac:dyDescent="0.25">
      <c r="A75" s="116" t="s">
        <v>201</v>
      </c>
      <c r="B75" s="116" t="str">
        <f t="shared" si="0"/>
        <v>KINDWILLER</v>
      </c>
      <c r="C75" s="342" t="str">
        <f t="shared" si="1"/>
        <v>clos couvert</v>
      </c>
      <c r="D75" s="117"/>
      <c r="E75" s="348"/>
      <c r="F75" s="349"/>
      <c r="G75" s="355"/>
    </row>
    <row r="76" spans="1:7" x14ac:dyDescent="0.25">
      <c r="A76" s="139" t="s">
        <v>180</v>
      </c>
      <c r="B76" s="139" t="str">
        <f t="shared" si="0"/>
        <v>KILSTETT</v>
      </c>
      <c r="C76" s="342" t="str">
        <f t="shared" si="1"/>
        <v>chape s42</v>
      </c>
      <c r="D76" s="137"/>
      <c r="E76" s="348"/>
      <c r="F76" s="349"/>
      <c r="G76" s="355"/>
    </row>
    <row r="77" spans="1:7" x14ac:dyDescent="0.25">
      <c r="A77" s="139" t="s">
        <v>214</v>
      </c>
      <c r="B77" s="139" t="str">
        <f t="shared" si="0"/>
        <v>BUST</v>
      </c>
      <c r="C77" s="342" t="str">
        <f t="shared" si="1"/>
        <v>couvert</v>
      </c>
      <c r="D77" s="137"/>
      <c r="E77" s="348"/>
      <c r="F77" s="349"/>
      <c r="G77" s="355"/>
    </row>
    <row r="78" spans="1:7" x14ac:dyDescent="0.25">
      <c r="A78" s="161" t="s">
        <v>202</v>
      </c>
      <c r="B78" s="161" t="str">
        <f t="shared" si="0"/>
        <v>LUTZELHOUSE</v>
      </c>
      <c r="C78" s="342" t="str">
        <f t="shared" si="1"/>
        <v>charpente</v>
      </c>
      <c r="D78" s="343"/>
      <c r="E78" s="348"/>
      <c r="F78" s="348"/>
      <c r="G78" s="356"/>
    </row>
    <row r="79" spans="1:7" x14ac:dyDescent="0.25">
      <c r="A79" s="161" t="s">
        <v>282</v>
      </c>
      <c r="B79" s="161" t="str">
        <f t="shared" si="0"/>
        <v>BREUSCHWICKERSHEIM</v>
      </c>
      <c r="C79" s="343" t="str">
        <f t="shared" si="1"/>
        <v>fondations</v>
      </c>
      <c r="D79" s="343"/>
      <c r="E79" s="348"/>
      <c r="F79" s="348"/>
      <c r="G79" s="356"/>
    </row>
    <row r="80" spans="1:7" x14ac:dyDescent="0.25">
      <c r="A80" s="161" t="s">
        <v>363</v>
      </c>
      <c r="B80" s="161" t="str">
        <f t="shared" si="0"/>
        <v>GAMBSHEIM</v>
      </c>
      <c r="C80" s="343" t="str">
        <f t="shared" si="1"/>
        <v>marchés en cours</v>
      </c>
      <c r="D80" s="343"/>
      <c r="E80" s="348"/>
      <c r="F80" s="348"/>
      <c r="G80" s="356"/>
    </row>
    <row r="81" spans="1:8" x14ac:dyDescent="0.25">
      <c r="A81" s="161" t="s">
        <v>364</v>
      </c>
      <c r="B81" s="161" t="str">
        <f t="shared" si="0"/>
        <v>OBERLAUTERBACH</v>
      </c>
      <c r="C81" s="343" t="str">
        <f t="shared" si="1"/>
        <v>marchés S43</v>
      </c>
      <c r="D81" s="343"/>
      <c r="E81" s="348"/>
      <c r="F81" s="348"/>
      <c r="G81" s="356"/>
    </row>
    <row r="82" spans="1:8" x14ac:dyDescent="0.25">
      <c r="A82" s="161" t="s">
        <v>181</v>
      </c>
      <c r="B82" s="161" t="str">
        <f t="shared" si="0"/>
        <v>OBERMODERN-ZUTZENDORF</v>
      </c>
      <c r="C82" s="343" t="str">
        <f t="shared" si="1"/>
        <v>chape s41</v>
      </c>
      <c r="D82" s="343"/>
      <c r="E82" s="348"/>
      <c r="F82" s="348"/>
      <c r="G82" s="356"/>
    </row>
    <row r="83" spans="1:8" x14ac:dyDescent="0.25">
      <c r="A83" s="161" t="s">
        <v>164</v>
      </c>
      <c r="B83" s="161" t="str">
        <f t="shared" si="0"/>
        <v>WILDERSBACH</v>
      </c>
      <c r="C83" s="343" t="str">
        <f t="shared" si="1"/>
        <v>à receptionner</v>
      </c>
      <c r="D83" s="343"/>
      <c r="E83" s="348"/>
      <c r="F83" s="348"/>
      <c r="G83" s="356"/>
    </row>
    <row r="84" spans="1:8" x14ac:dyDescent="0.25">
      <c r="A84" s="161" t="s">
        <v>248</v>
      </c>
      <c r="B84" s="161" t="str">
        <f t="shared" si="0"/>
        <v>AVENHEIM</v>
      </c>
      <c r="C84" s="343" t="str">
        <f t="shared" si="1"/>
        <v>dalle basse RDC</v>
      </c>
      <c r="D84" s="343"/>
      <c r="E84" s="348"/>
      <c r="F84" s="348"/>
      <c r="G84" s="356"/>
    </row>
    <row r="85" spans="1:8" x14ac:dyDescent="0.25">
      <c r="A85" s="138"/>
      <c r="B85" s="138"/>
      <c r="C85" s="138"/>
      <c r="D85" s="138"/>
    </row>
    <row r="87" spans="1:8" x14ac:dyDescent="0.25">
      <c r="C87" s="138"/>
      <c r="D87" s="138"/>
    </row>
    <row r="88" spans="1:8" x14ac:dyDescent="0.25">
      <c r="A88" s="411"/>
      <c r="B88" s="411"/>
      <c r="C88" s="411"/>
      <c r="D88" s="411"/>
      <c r="E88" s="411"/>
      <c r="F88" s="411"/>
      <c r="G88" s="411"/>
    </row>
    <row r="89" spans="1:8" x14ac:dyDescent="0.25">
      <c r="A89" s="407" t="s">
        <v>373</v>
      </c>
      <c r="B89" s="407"/>
      <c r="C89" s="407"/>
      <c r="D89" s="407"/>
      <c r="E89" s="407"/>
      <c r="F89" s="407"/>
      <c r="G89" s="407"/>
    </row>
    <row r="90" spans="1:8" ht="15.75" thickBot="1" x14ac:dyDescent="0.3">
      <c r="A90" s="407" t="s">
        <v>374</v>
      </c>
      <c r="B90" s="407"/>
      <c r="C90" s="407"/>
      <c r="D90" s="407"/>
      <c r="E90" s="407"/>
      <c r="F90" s="407"/>
      <c r="G90" s="407"/>
    </row>
    <row r="91" spans="1:8" ht="15" customHeight="1" x14ac:dyDescent="0.25">
      <c r="C91" s="401" t="s">
        <v>80</v>
      </c>
      <c r="D91" s="402"/>
    </row>
    <row r="92" spans="1:8" ht="6.75" customHeight="1" x14ac:dyDescent="0.25">
      <c r="C92" s="403"/>
      <c r="D92" s="404"/>
    </row>
    <row r="93" spans="1:8" ht="27" customHeight="1" thickBot="1" x14ac:dyDescent="0.3">
      <c r="C93" s="405"/>
      <c r="D93" s="406"/>
    </row>
    <row r="94" spans="1:8" ht="27" customHeight="1" thickBot="1" x14ac:dyDescent="0.3">
      <c r="C94" s="121" t="s">
        <v>1</v>
      </c>
      <c r="D94" s="113">
        <f ca="1">D4</f>
        <v>41</v>
      </c>
    </row>
    <row r="95" spans="1:8" ht="15" customHeight="1" x14ac:dyDescent="0.25">
      <c r="C95" s="121"/>
      <c r="H95" s="119"/>
    </row>
    <row r="96" spans="1:8" ht="10.5" customHeight="1" x14ac:dyDescent="0.25">
      <c r="C96" s="109"/>
      <c r="D96" s="109"/>
      <c r="E96" s="348"/>
      <c r="F96" s="348"/>
    </row>
    <row r="97" spans="1:7" ht="21.75" customHeight="1" x14ac:dyDescent="0.4">
      <c r="B97" s="114" t="s">
        <v>77</v>
      </c>
      <c r="C97" s="114" t="s">
        <v>40</v>
      </c>
      <c r="D97" s="342" t="s">
        <v>84</v>
      </c>
      <c r="E97" s="141"/>
      <c r="F97" s="348"/>
    </row>
    <row r="98" spans="1:7" ht="16.5" customHeight="1" x14ac:dyDescent="0.3">
      <c r="C98" s="110"/>
      <c r="D98" s="109"/>
      <c r="E98" s="348"/>
      <c r="F98" s="348"/>
    </row>
    <row r="99" spans="1:7" s="138" customFormat="1" ht="16.5" customHeight="1" x14ac:dyDescent="0.25">
      <c r="A99" s="369" t="s">
        <v>78</v>
      </c>
      <c r="B99" s="369" t="s">
        <v>294</v>
      </c>
      <c r="C99" s="141" t="s">
        <v>79</v>
      </c>
      <c r="D99" s="112" t="s">
        <v>375</v>
      </c>
      <c r="E99" s="348" t="s">
        <v>352</v>
      </c>
      <c r="F99" s="348" t="s">
        <v>369</v>
      </c>
      <c r="G99" s="141" t="s">
        <v>126</v>
      </c>
    </row>
    <row r="100" spans="1:7" ht="16.5" customHeight="1" x14ac:dyDescent="0.25">
      <c r="A100" s="111" t="s">
        <v>213</v>
      </c>
      <c r="B100" s="111" t="str">
        <f t="shared" ref="B100:B129" si="2">B10</f>
        <v>PFETTISHEIM</v>
      </c>
      <c r="C100" s="342" t="str">
        <f t="shared" ref="C100:C129" si="3">C10</f>
        <v>pignons</v>
      </c>
      <c r="D100" s="140"/>
      <c r="E100" s="348"/>
      <c r="F100" s="348"/>
      <c r="G100" s="354"/>
    </row>
    <row r="101" spans="1:7" x14ac:dyDescent="0.25">
      <c r="A101" s="116" t="s">
        <v>278</v>
      </c>
      <c r="B101" s="116" t="str">
        <f t="shared" si="2"/>
        <v>BLIENSCHWILLER</v>
      </c>
      <c r="C101" s="342" t="str">
        <f t="shared" si="3"/>
        <v>fondations</v>
      </c>
      <c r="D101" s="117" t="s">
        <v>305</v>
      </c>
      <c r="E101" s="348">
        <v>48</v>
      </c>
      <c r="F101" s="349"/>
      <c r="G101" s="201"/>
    </row>
    <row r="102" spans="1:7" x14ac:dyDescent="0.25">
      <c r="A102" s="116" t="s">
        <v>259</v>
      </c>
      <c r="B102" s="116" t="str">
        <f t="shared" si="2"/>
        <v>BERSTHEIM</v>
      </c>
      <c r="C102" s="342" t="str">
        <f t="shared" si="3"/>
        <v>dalle basse RDC</v>
      </c>
      <c r="D102" s="117"/>
      <c r="E102" s="348"/>
      <c r="F102" s="349"/>
      <c r="G102" s="355"/>
    </row>
    <row r="103" spans="1:7" x14ac:dyDescent="0.25">
      <c r="A103" s="116" t="s">
        <v>279</v>
      </c>
      <c r="B103" s="116" t="str">
        <f t="shared" si="2"/>
        <v>FRIEDOLSHEIM</v>
      </c>
      <c r="C103" s="342" t="str">
        <f t="shared" si="3"/>
        <v>dalle basse RDC</v>
      </c>
      <c r="D103" s="117" t="s">
        <v>305</v>
      </c>
      <c r="E103" s="348">
        <v>46</v>
      </c>
      <c r="F103" s="349"/>
      <c r="G103" s="358"/>
    </row>
    <row r="104" spans="1:7" x14ac:dyDescent="0.25">
      <c r="A104" s="116" t="s">
        <v>179</v>
      </c>
      <c r="B104" s="116" t="str">
        <f t="shared" si="2"/>
        <v>GERTSHEIM</v>
      </c>
      <c r="C104" s="342" t="str">
        <f t="shared" si="3"/>
        <v>à receptionner</v>
      </c>
      <c r="D104" s="117"/>
      <c r="E104" s="348"/>
      <c r="F104" s="349"/>
      <c r="G104" s="355"/>
    </row>
    <row r="105" spans="1:7" x14ac:dyDescent="0.25">
      <c r="A105" s="116" t="s">
        <v>197</v>
      </c>
      <c r="B105" s="116" t="str">
        <f t="shared" si="2"/>
        <v>STRASBOURG</v>
      </c>
      <c r="C105" s="342" t="str">
        <f t="shared" si="3"/>
        <v>chape s42</v>
      </c>
      <c r="D105" s="117"/>
      <c r="E105" s="348"/>
      <c r="F105" s="349"/>
      <c r="G105" s="355"/>
    </row>
    <row r="106" spans="1:7" x14ac:dyDescent="0.25">
      <c r="A106" s="116" t="s">
        <v>280</v>
      </c>
      <c r="B106" s="116" t="str">
        <f t="shared" si="2"/>
        <v>HENGWILLER</v>
      </c>
      <c r="C106" s="342" t="str">
        <f t="shared" si="3"/>
        <v>soubassement</v>
      </c>
      <c r="D106" s="117"/>
      <c r="E106" s="348"/>
      <c r="F106" s="349"/>
      <c r="G106" s="355"/>
    </row>
    <row r="107" spans="1:7" x14ac:dyDescent="0.25">
      <c r="A107" s="116" t="s">
        <v>198</v>
      </c>
      <c r="B107" s="116" t="str">
        <f t="shared" si="2"/>
        <v>HANGENBIENTEN</v>
      </c>
      <c r="C107" s="342" t="str">
        <f t="shared" si="3"/>
        <v>dalle basse RDC</v>
      </c>
      <c r="D107" s="117"/>
      <c r="E107" s="348"/>
      <c r="F107" s="349"/>
      <c r="G107" s="355"/>
    </row>
    <row r="108" spans="1:7" x14ac:dyDescent="0.25">
      <c r="A108" s="116" t="s">
        <v>281</v>
      </c>
      <c r="B108" s="116" t="str">
        <f t="shared" si="2"/>
        <v>OBERHOFFEN</v>
      </c>
      <c r="C108" s="342" t="str">
        <f t="shared" si="3"/>
        <v>dalle basse RDC</v>
      </c>
      <c r="D108" s="117"/>
      <c r="E108" s="348"/>
      <c r="F108" s="349"/>
      <c r="G108" s="355"/>
    </row>
    <row r="109" spans="1:7" x14ac:dyDescent="0.25">
      <c r="A109" s="116" t="s">
        <v>199</v>
      </c>
      <c r="B109" s="116" t="str">
        <f t="shared" si="2"/>
        <v>EBERSHEIM</v>
      </c>
      <c r="C109" s="342" t="str">
        <f t="shared" si="3"/>
        <v>couvert</v>
      </c>
      <c r="D109" s="117"/>
      <c r="E109" s="348"/>
      <c r="F109" s="349"/>
      <c r="G109" s="355"/>
    </row>
    <row r="110" spans="1:7" x14ac:dyDescent="0.25">
      <c r="A110" s="116" t="s">
        <v>256</v>
      </c>
      <c r="B110" s="116" t="str">
        <f t="shared" si="2"/>
        <v>DINSHEIM S/ BRUCHE</v>
      </c>
      <c r="C110" s="342" t="str">
        <f t="shared" si="3"/>
        <v>GO fini</v>
      </c>
      <c r="D110" s="117"/>
      <c r="E110" s="348"/>
      <c r="F110" s="349"/>
      <c r="G110" s="355"/>
    </row>
    <row r="111" spans="1:7" x14ac:dyDescent="0.25">
      <c r="A111" s="116" t="s">
        <v>357</v>
      </c>
      <c r="B111" s="116" t="str">
        <f t="shared" si="2"/>
        <v>MOLSHEIM</v>
      </c>
      <c r="C111" s="342" t="str">
        <f t="shared" si="3"/>
        <v>marchés en cours</v>
      </c>
      <c r="D111" s="117"/>
      <c r="E111" s="348"/>
      <c r="F111" s="349"/>
      <c r="G111" s="355"/>
    </row>
    <row r="112" spans="1:7" x14ac:dyDescent="0.25">
      <c r="A112" s="116" t="s">
        <v>200</v>
      </c>
      <c r="B112" s="116" t="str">
        <f t="shared" si="2"/>
        <v>KLEINFRANKENHEIM</v>
      </c>
      <c r="C112" s="342" t="str">
        <f t="shared" si="3"/>
        <v>second œuvre en cours charge client</v>
      </c>
      <c r="D112" s="117"/>
      <c r="E112" s="348"/>
      <c r="F112" s="349"/>
      <c r="G112" s="355"/>
    </row>
    <row r="113" spans="1:7" x14ac:dyDescent="0.25">
      <c r="A113" s="116" t="s">
        <v>161</v>
      </c>
      <c r="B113" s="116" t="str">
        <f t="shared" si="2"/>
        <v>HANGENBIENTEN</v>
      </c>
      <c r="C113" s="342" t="str">
        <f t="shared" si="3"/>
        <v>chape</v>
      </c>
      <c r="D113" s="117"/>
      <c r="E113" s="348"/>
      <c r="F113" s="349"/>
      <c r="G113" s="355"/>
    </row>
    <row r="114" spans="1:7" x14ac:dyDescent="0.25">
      <c r="A114" s="116" t="s">
        <v>185</v>
      </c>
      <c r="B114" s="116" t="str">
        <f t="shared" si="2"/>
        <v>PETERSBACH</v>
      </c>
      <c r="C114" s="342" t="str">
        <f t="shared" si="3"/>
        <v>couvert</v>
      </c>
      <c r="D114" s="117"/>
      <c r="E114" s="348"/>
      <c r="F114" s="349"/>
      <c r="G114" s="355"/>
    </row>
    <row r="115" spans="1:7" x14ac:dyDescent="0.25">
      <c r="A115" s="116" t="s">
        <v>162</v>
      </c>
      <c r="B115" s="116" t="str">
        <f t="shared" si="2"/>
        <v>ENTZHEIM</v>
      </c>
      <c r="C115" s="342" t="str">
        <f t="shared" si="3"/>
        <v>chape</v>
      </c>
      <c r="D115" s="117"/>
      <c r="E115" s="348"/>
      <c r="F115" s="349"/>
      <c r="G115" s="355"/>
    </row>
    <row r="116" spans="1:7" x14ac:dyDescent="0.25">
      <c r="A116" s="116" t="s">
        <v>152</v>
      </c>
      <c r="B116" s="116" t="str">
        <f t="shared" si="2"/>
        <v>KILSTETT</v>
      </c>
      <c r="C116" s="342" t="str">
        <f t="shared" si="3"/>
        <v>chantier en arrêt</v>
      </c>
      <c r="D116" s="117"/>
      <c r="E116" s="348"/>
      <c r="F116" s="349"/>
      <c r="G116" s="355"/>
    </row>
    <row r="117" spans="1:7" x14ac:dyDescent="0.25">
      <c r="A117" s="116" t="s">
        <v>218</v>
      </c>
      <c r="B117" s="116" t="str">
        <f t="shared" si="2"/>
        <v>ESCHBACH</v>
      </c>
      <c r="C117" s="342" t="str">
        <f t="shared" si="3"/>
        <v>couvert</v>
      </c>
      <c r="D117" s="117"/>
      <c r="E117" s="348"/>
      <c r="F117" s="349"/>
      <c r="G117" s="355"/>
    </row>
    <row r="118" spans="1:7" x14ac:dyDescent="0.25">
      <c r="A118" s="116" t="s">
        <v>163</v>
      </c>
      <c r="B118" s="116" t="str">
        <f t="shared" si="2"/>
        <v>BISCHWILLER</v>
      </c>
      <c r="C118" s="342" t="str">
        <f t="shared" si="3"/>
        <v>chape s42</v>
      </c>
      <c r="D118" s="117"/>
      <c r="E118" s="348"/>
      <c r="F118" s="349"/>
      <c r="G118" s="355"/>
    </row>
    <row r="119" spans="1:7" x14ac:dyDescent="0.25">
      <c r="A119" s="116" t="s">
        <v>153</v>
      </c>
      <c r="B119" s="116" t="str">
        <f t="shared" si="2"/>
        <v>PFETTISHEIM</v>
      </c>
      <c r="C119" s="342" t="str">
        <f t="shared" si="3"/>
        <v>à receptionner</v>
      </c>
      <c r="D119" s="117"/>
      <c r="E119" s="348"/>
      <c r="F119" s="349"/>
      <c r="G119" s="355"/>
    </row>
    <row r="120" spans="1:7" x14ac:dyDescent="0.25">
      <c r="A120" s="116" t="s">
        <v>201</v>
      </c>
      <c r="B120" s="116" t="str">
        <f t="shared" si="2"/>
        <v>KINDWILLER</v>
      </c>
      <c r="C120" s="342" t="str">
        <f t="shared" si="3"/>
        <v>clos couvert</v>
      </c>
      <c r="D120" s="117"/>
      <c r="E120" s="348"/>
      <c r="F120" s="349"/>
      <c r="G120" s="355"/>
    </row>
    <row r="121" spans="1:7" x14ac:dyDescent="0.25">
      <c r="A121" s="136" t="s">
        <v>180</v>
      </c>
      <c r="B121" s="136" t="str">
        <f t="shared" si="2"/>
        <v>KILSTETT</v>
      </c>
      <c r="C121" s="342" t="str">
        <f t="shared" si="3"/>
        <v>chape s42</v>
      </c>
      <c r="D121" s="137"/>
      <c r="E121" s="348"/>
      <c r="F121" s="349"/>
      <c r="G121" s="355"/>
    </row>
    <row r="122" spans="1:7" x14ac:dyDescent="0.25">
      <c r="A122" s="136" t="s">
        <v>214</v>
      </c>
      <c r="B122" s="136" t="str">
        <f t="shared" si="2"/>
        <v>BUST</v>
      </c>
      <c r="C122" s="342" t="str">
        <f t="shared" si="3"/>
        <v>couvert</v>
      </c>
      <c r="D122" s="343"/>
      <c r="E122" s="348"/>
      <c r="F122" s="348"/>
      <c r="G122" s="356"/>
    </row>
    <row r="123" spans="1:7" x14ac:dyDescent="0.25">
      <c r="A123" s="160" t="s">
        <v>202</v>
      </c>
      <c r="B123" s="160" t="str">
        <f t="shared" si="2"/>
        <v>LUTZELHOUSE</v>
      </c>
      <c r="C123" s="342" t="str">
        <f t="shared" si="3"/>
        <v>charpente</v>
      </c>
      <c r="D123" s="137" t="s">
        <v>305</v>
      </c>
      <c r="E123" s="348">
        <v>41</v>
      </c>
      <c r="F123" s="349"/>
      <c r="G123" s="359" t="s">
        <v>306</v>
      </c>
    </row>
    <row r="124" spans="1:7" x14ac:dyDescent="0.25">
      <c r="A124" s="160" t="s">
        <v>282</v>
      </c>
      <c r="B124" s="160" t="str">
        <f t="shared" si="2"/>
        <v>BREUSCHWICKERSHEIM</v>
      </c>
      <c r="C124" s="177" t="str">
        <f t="shared" si="3"/>
        <v>fondations</v>
      </c>
      <c r="D124" s="343"/>
      <c r="E124" s="348"/>
      <c r="F124" s="348"/>
      <c r="G124" s="356"/>
    </row>
    <row r="125" spans="1:7" x14ac:dyDescent="0.25">
      <c r="A125" s="160" t="s">
        <v>363</v>
      </c>
      <c r="B125" s="160" t="str">
        <f t="shared" si="2"/>
        <v>GAMBSHEIM</v>
      </c>
      <c r="C125" s="177" t="str">
        <f t="shared" si="3"/>
        <v>marchés en cours</v>
      </c>
      <c r="D125" s="343"/>
      <c r="E125" s="348"/>
      <c r="F125" s="348"/>
      <c r="G125" s="356"/>
    </row>
    <row r="126" spans="1:7" x14ac:dyDescent="0.25">
      <c r="A126" s="160" t="s">
        <v>364</v>
      </c>
      <c r="B126" s="160" t="str">
        <f t="shared" si="2"/>
        <v>OBERLAUTERBACH</v>
      </c>
      <c r="C126" s="177" t="str">
        <f t="shared" si="3"/>
        <v>marchés S43</v>
      </c>
      <c r="D126" s="343"/>
      <c r="E126" s="348"/>
      <c r="F126" s="348"/>
      <c r="G126" s="356"/>
    </row>
    <row r="127" spans="1:7" x14ac:dyDescent="0.25">
      <c r="A127" s="160" t="s">
        <v>181</v>
      </c>
      <c r="B127" s="161" t="str">
        <f t="shared" si="2"/>
        <v>OBERMODERN-ZUTZENDORF</v>
      </c>
      <c r="C127" s="177" t="str">
        <f t="shared" si="3"/>
        <v>chape s41</v>
      </c>
      <c r="D127" s="343"/>
      <c r="E127" s="348"/>
      <c r="F127" s="348"/>
      <c r="G127" s="356"/>
    </row>
    <row r="128" spans="1:7" x14ac:dyDescent="0.25">
      <c r="A128" s="160" t="s">
        <v>164</v>
      </c>
      <c r="B128" s="161" t="str">
        <f t="shared" si="2"/>
        <v>WILDERSBACH</v>
      </c>
      <c r="C128" s="177" t="str">
        <f t="shared" si="3"/>
        <v>à receptionner</v>
      </c>
      <c r="D128" s="343"/>
      <c r="E128" s="348"/>
      <c r="F128" s="348"/>
      <c r="G128" s="356"/>
    </row>
    <row r="129" spans="1:8" x14ac:dyDescent="0.25">
      <c r="A129" s="160" t="s">
        <v>248</v>
      </c>
      <c r="B129" s="161" t="str">
        <f t="shared" si="2"/>
        <v>AVENHEIM</v>
      </c>
      <c r="C129" s="177" t="str">
        <f t="shared" si="3"/>
        <v>dalle basse RDC</v>
      </c>
      <c r="D129" s="343"/>
      <c r="E129" s="348"/>
      <c r="F129" s="348"/>
      <c r="G129" s="356"/>
    </row>
    <row r="130" spans="1:8" x14ac:dyDescent="0.25">
      <c r="A130" s="160"/>
      <c r="B130" s="177"/>
      <c r="C130" s="343"/>
      <c r="D130" s="148"/>
      <c r="E130" s="348"/>
      <c r="F130" s="348"/>
    </row>
    <row r="134" spans="1:8" x14ac:dyDescent="0.25">
      <c r="A134" s="407" t="s">
        <v>373</v>
      </c>
      <c r="B134" s="407"/>
      <c r="C134" s="407"/>
      <c r="D134" s="407"/>
      <c r="E134" s="407"/>
      <c r="F134" s="407"/>
      <c r="G134" s="407"/>
    </row>
    <row r="135" spans="1:8" ht="15.75" thickBot="1" x14ac:dyDescent="0.3">
      <c r="A135" s="407" t="s">
        <v>374</v>
      </c>
      <c r="B135" s="407"/>
      <c r="C135" s="407"/>
      <c r="D135" s="407"/>
      <c r="E135" s="407"/>
      <c r="F135" s="407"/>
      <c r="G135" s="407"/>
    </row>
    <row r="136" spans="1:8" ht="15" customHeight="1" x14ac:dyDescent="0.25">
      <c r="C136" s="401" t="s">
        <v>80</v>
      </c>
      <c r="D136" s="402"/>
    </row>
    <row r="137" spans="1:8" ht="6.75" customHeight="1" x14ac:dyDescent="0.25">
      <c r="C137" s="403"/>
      <c r="D137" s="404"/>
    </row>
    <row r="138" spans="1:8" ht="27" customHeight="1" thickBot="1" x14ac:dyDescent="0.3">
      <c r="C138" s="405"/>
      <c r="D138" s="406"/>
    </row>
    <row r="139" spans="1:8" ht="27" customHeight="1" thickBot="1" x14ac:dyDescent="0.3">
      <c r="C139" s="121" t="s">
        <v>1</v>
      </c>
      <c r="D139" s="113">
        <f ca="1">D4</f>
        <v>41</v>
      </c>
    </row>
    <row r="140" spans="1:8" ht="15" customHeight="1" x14ac:dyDescent="0.25">
      <c r="C140" s="121"/>
      <c r="H140" s="119"/>
    </row>
    <row r="141" spans="1:8" ht="10.5" customHeight="1" x14ac:dyDescent="0.25">
      <c r="C141" s="109"/>
      <c r="D141" s="109"/>
      <c r="E141" s="348"/>
      <c r="F141" s="348"/>
    </row>
    <row r="142" spans="1:8" ht="21.75" customHeight="1" x14ac:dyDescent="0.4">
      <c r="B142" s="114" t="s">
        <v>77</v>
      </c>
      <c r="C142" s="114" t="s">
        <v>54</v>
      </c>
      <c r="D142" s="342" t="s">
        <v>85</v>
      </c>
      <c r="E142" s="141"/>
      <c r="F142" s="348"/>
    </row>
    <row r="143" spans="1:8" ht="16.5" customHeight="1" x14ac:dyDescent="0.3">
      <c r="C143" s="110"/>
      <c r="D143" s="109"/>
      <c r="E143" s="348"/>
      <c r="F143" s="348"/>
    </row>
    <row r="144" spans="1:8" s="138" customFormat="1" ht="16.5" customHeight="1" x14ac:dyDescent="0.25">
      <c r="A144" s="369" t="s">
        <v>78</v>
      </c>
      <c r="B144" s="369" t="s">
        <v>294</v>
      </c>
      <c r="C144" s="141" t="s">
        <v>79</v>
      </c>
      <c r="D144" s="112" t="s">
        <v>375</v>
      </c>
      <c r="E144" s="348" t="s">
        <v>352</v>
      </c>
      <c r="F144" s="348" t="s">
        <v>369</v>
      </c>
      <c r="G144" s="141" t="s">
        <v>126</v>
      </c>
    </row>
    <row r="145" spans="1:7" ht="16.5" customHeight="1" x14ac:dyDescent="0.25">
      <c r="A145" s="111" t="s">
        <v>213</v>
      </c>
      <c r="B145" s="111" t="str">
        <f t="shared" ref="B145:B154" si="4">B10</f>
        <v>PFETTISHEIM</v>
      </c>
      <c r="C145" s="342" t="str">
        <f t="shared" ref="C145:C174" si="5">C10</f>
        <v>pignons</v>
      </c>
      <c r="D145" s="141" t="s">
        <v>219</v>
      </c>
      <c r="E145" s="348">
        <v>49</v>
      </c>
      <c r="F145" s="348"/>
      <c r="G145" s="354"/>
    </row>
    <row r="146" spans="1:7" x14ac:dyDescent="0.25">
      <c r="A146" s="116" t="s">
        <v>278</v>
      </c>
      <c r="B146" s="116" t="str">
        <f t="shared" si="4"/>
        <v>BLIENSCHWILLER</v>
      </c>
      <c r="C146" s="342" t="str">
        <f t="shared" si="5"/>
        <v>fondations</v>
      </c>
      <c r="D146" s="117" t="s">
        <v>219</v>
      </c>
      <c r="E146" s="348">
        <v>7</v>
      </c>
      <c r="F146" s="349"/>
      <c r="G146" s="355"/>
    </row>
    <row r="147" spans="1:7" x14ac:dyDescent="0.25">
      <c r="A147" s="116" t="s">
        <v>259</v>
      </c>
      <c r="B147" s="116" t="str">
        <f t="shared" si="4"/>
        <v>BERSTHEIM</v>
      </c>
      <c r="C147" s="342" t="str">
        <f t="shared" si="5"/>
        <v>dalle basse RDC</v>
      </c>
      <c r="D147" s="117"/>
      <c r="E147" s="348"/>
      <c r="F147" s="349"/>
      <c r="G147" s="355"/>
    </row>
    <row r="148" spans="1:7" x14ac:dyDescent="0.25">
      <c r="A148" s="116" t="s">
        <v>279</v>
      </c>
      <c r="B148" s="116" t="str">
        <f t="shared" si="4"/>
        <v>FRIEDOLSHEIM</v>
      </c>
      <c r="C148" s="342" t="str">
        <f t="shared" si="5"/>
        <v>dalle basse RDC</v>
      </c>
      <c r="D148" s="117"/>
      <c r="E148" s="348"/>
      <c r="F148" s="349"/>
      <c r="G148" s="355"/>
    </row>
    <row r="149" spans="1:7" x14ac:dyDescent="0.25">
      <c r="A149" s="116" t="s">
        <v>179</v>
      </c>
      <c r="B149" s="116" t="str">
        <f t="shared" si="4"/>
        <v>GERTSHEIM</v>
      </c>
      <c r="C149" s="342" t="str">
        <f t="shared" si="5"/>
        <v>à receptionner</v>
      </c>
      <c r="D149" s="117"/>
      <c r="E149" s="348"/>
      <c r="F149" s="349"/>
      <c r="G149" s="355"/>
    </row>
    <row r="150" spans="1:7" x14ac:dyDescent="0.25">
      <c r="A150" s="116" t="s">
        <v>197</v>
      </c>
      <c r="B150" s="116" t="str">
        <f t="shared" si="4"/>
        <v>STRASBOURG</v>
      </c>
      <c r="C150" s="342" t="str">
        <f t="shared" si="5"/>
        <v>chape s42</v>
      </c>
      <c r="D150" s="117" t="s">
        <v>219</v>
      </c>
      <c r="E150" s="348">
        <v>43</v>
      </c>
      <c r="F150" s="349"/>
      <c r="G150" s="355"/>
    </row>
    <row r="151" spans="1:7" x14ac:dyDescent="0.25">
      <c r="A151" s="116" t="s">
        <v>280</v>
      </c>
      <c r="B151" s="116" t="str">
        <f t="shared" si="4"/>
        <v>HENGWILLER</v>
      </c>
      <c r="C151" s="342" t="str">
        <f t="shared" si="5"/>
        <v>soubassement</v>
      </c>
      <c r="D151" s="117" t="s">
        <v>219</v>
      </c>
      <c r="E151" s="348">
        <v>6</v>
      </c>
      <c r="F151" s="349"/>
      <c r="G151" s="355"/>
    </row>
    <row r="152" spans="1:7" x14ac:dyDescent="0.25">
      <c r="A152" s="116" t="s">
        <v>198</v>
      </c>
      <c r="B152" s="116" t="str">
        <f t="shared" si="4"/>
        <v>HANGENBIENTEN</v>
      </c>
      <c r="C152" s="342" t="str">
        <f t="shared" si="5"/>
        <v>dalle basse RDC</v>
      </c>
      <c r="D152" s="117" t="s">
        <v>307</v>
      </c>
      <c r="E152" s="348"/>
      <c r="F152" s="349"/>
      <c r="G152" s="355"/>
    </row>
    <row r="153" spans="1:7" x14ac:dyDescent="0.25">
      <c r="A153" s="116" t="s">
        <v>281</v>
      </c>
      <c r="B153" s="116" t="str">
        <f t="shared" si="4"/>
        <v>OBERHOFFEN</v>
      </c>
      <c r="C153" s="342" t="str">
        <f t="shared" si="5"/>
        <v>dalle basse RDC</v>
      </c>
      <c r="D153" s="117"/>
      <c r="E153" s="348"/>
      <c r="F153" s="349"/>
      <c r="G153" s="355"/>
    </row>
    <row r="154" spans="1:7" x14ac:dyDescent="0.25">
      <c r="A154" s="116" t="s">
        <v>199</v>
      </c>
      <c r="B154" s="116" t="str">
        <f t="shared" si="4"/>
        <v>EBERSHEIM</v>
      </c>
      <c r="C154" s="342" t="str">
        <f t="shared" si="5"/>
        <v>couvert</v>
      </c>
      <c r="D154" s="117"/>
      <c r="E154" s="348"/>
      <c r="F154" s="349"/>
      <c r="G154" s="355"/>
    </row>
    <row r="155" spans="1:7" x14ac:dyDescent="0.25">
      <c r="A155" s="116" t="s">
        <v>256</v>
      </c>
      <c r="B155" s="116" t="str">
        <f t="shared" ref="B155:B174" si="6">B20</f>
        <v>DINSHEIM S/ BRUCHE</v>
      </c>
      <c r="C155" s="342" t="str">
        <f t="shared" si="5"/>
        <v>GO fini</v>
      </c>
      <c r="D155" s="343"/>
      <c r="E155" s="348"/>
      <c r="F155" s="349"/>
      <c r="G155" s="162"/>
    </row>
    <row r="156" spans="1:7" x14ac:dyDescent="0.25">
      <c r="A156" s="116" t="s">
        <v>357</v>
      </c>
      <c r="B156" s="116" t="str">
        <f t="shared" si="6"/>
        <v>MOLSHEIM</v>
      </c>
      <c r="C156" s="342" t="str">
        <f t="shared" si="5"/>
        <v>marchés en cours</v>
      </c>
      <c r="D156" s="137" t="s">
        <v>219</v>
      </c>
      <c r="E156" s="348">
        <v>51</v>
      </c>
      <c r="F156" s="349"/>
      <c r="G156" s="355"/>
    </row>
    <row r="157" spans="1:7" x14ac:dyDescent="0.25">
      <c r="A157" s="123" t="s">
        <v>200</v>
      </c>
      <c r="B157" s="123" t="str">
        <f t="shared" si="6"/>
        <v>KLEINFRANKENHEIM</v>
      </c>
      <c r="C157" s="342" t="str">
        <f t="shared" si="5"/>
        <v>second œuvre en cours charge client</v>
      </c>
      <c r="D157" s="137"/>
      <c r="E157" s="348"/>
      <c r="F157" s="349"/>
      <c r="G157" s="355"/>
    </row>
    <row r="158" spans="1:7" x14ac:dyDescent="0.25">
      <c r="A158" s="116" t="s">
        <v>161</v>
      </c>
      <c r="B158" s="116" t="str">
        <f t="shared" si="6"/>
        <v>HANGENBIENTEN</v>
      </c>
      <c r="C158" s="342" t="str">
        <f t="shared" si="5"/>
        <v>chape</v>
      </c>
      <c r="D158" s="137" t="s">
        <v>219</v>
      </c>
      <c r="E158" s="348">
        <v>41</v>
      </c>
      <c r="F158" s="349"/>
      <c r="G158" s="355"/>
    </row>
    <row r="159" spans="1:7" x14ac:dyDescent="0.25">
      <c r="A159" s="116" t="s">
        <v>185</v>
      </c>
      <c r="B159" s="116" t="str">
        <f t="shared" si="6"/>
        <v>PETERSBACH</v>
      </c>
      <c r="C159" s="342" t="str">
        <f t="shared" si="5"/>
        <v>couvert</v>
      </c>
      <c r="D159" s="137" t="s">
        <v>219</v>
      </c>
      <c r="E159" s="348">
        <v>47</v>
      </c>
      <c r="F159" s="349"/>
      <c r="G159" s="355"/>
    </row>
    <row r="160" spans="1:7" ht="15" customHeight="1" x14ac:dyDescent="0.25">
      <c r="A160" s="116" t="s">
        <v>162</v>
      </c>
      <c r="B160" s="116" t="str">
        <f t="shared" si="6"/>
        <v>ENTZHEIM</v>
      </c>
      <c r="C160" s="342" t="str">
        <f t="shared" si="5"/>
        <v>chape</v>
      </c>
      <c r="D160" s="137" t="s">
        <v>220</v>
      </c>
      <c r="E160" s="348">
        <v>42</v>
      </c>
      <c r="F160" s="349"/>
      <c r="G160" s="356" t="s">
        <v>308</v>
      </c>
    </row>
    <row r="161" spans="1:7" x14ac:dyDescent="0.25">
      <c r="A161" s="116" t="s">
        <v>152</v>
      </c>
      <c r="B161" s="116" t="str">
        <f t="shared" si="6"/>
        <v>KILSTETT</v>
      </c>
      <c r="C161" s="342" t="str">
        <f t="shared" si="5"/>
        <v>chantier en arrêt</v>
      </c>
      <c r="D161" s="137"/>
      <c r="E161" s="348"/>
      <c r="F161" s="349"/>
      <c r="G161" s="355" t="s">
        <v>215</v>
      </c>
    </row>
    <row r="162" spans="1:7" x14ac:dyDescent="0.25">
      <c r="A162" s="116" t="s">
        <v>218</v>
      </c>
      <c r="B162" s="116" t="str">
        <f t="shared" si="6"/>
        <v>ESCHBACH</v>
      </c>
      <c r="C162" s="342" t="str">
        <f t="shared" si="5"/>
        <v>couvert</v>
      </c>
      <c r="D162" s="137" t="s">
        <v>219</v>
      </c>
      <c r="E162" s="348">
        <v>50</v>
      </c>
      <c r="F162" s="349"/>
      <c r="G162" s="355"/>
    </row>
    <row r="163" spans="1:7" x14ac:dyDescent="0.25">
      <c r="A163" s="116" t="s">
        <v>163</v>
      </c>
      <c r="B163" s="116" t="str">
        <f t="shared" si="6"/>
        <v>BISCHWILLER</v>
      </c>
      <c r="C163" s="342" t="str">
        <f t="shared" si="5"/>
        <v>chape s42</v>
      </c>
      <c r="D163" s="137" t="s">
        <v>219</v>
      </c>
      <c r="E163" s="348">
        <v>43</v>
      </c>
      <c r="F163" s="349"/>
      <c r="G163" s="355"/>
    </row>
    <row r="164" spans="1:7" x14ac:dyDescent="0.25">
      <c r="A164" s="116" t="s">
        <v>153</v>
      </c>
      <c r="B164" s="116" t="str">
        <f t="shared" si="6"/>
        <v>PFETTISHEIM</v>
      </c>
      <c r="C164" s="342" t="str">
        <f t="shared" si="5"/>
        <v>à receptionner</v>
      </c>
      <c r="D164" s="137"/>
      <c r="E164" s="348"/>
      <c r="F164" s="349"/>
      <c r="G164" s="355"/>
    </row>
    <row r="165" spans="1:7" x14ac:dyDescent="0.25">
      <c r="A165" s="136" t="s">
        <v>201</v>
      </c>
      <c r="B165" s="136" t="str">
        <f t="shared" si="6"/>
        <v>KINDWILLER</v>
      </c>
      <c r="C165" s="342" t="str">
        <f t="shared" si="5"/>
        <v>clos couvert</v>
      </c>
      <c r="D165" s="137" t="s">
        <v>219</v>
      </c>
      <c r="E165" s="348">
        <v>47</v>
      </c>
      <c r="F165" s="349"/>
      <c r="G165" s="355"/>
    </row>
    <row r="166" spans="1:7" x14ac:dyDescent="0.25">
      <c r="A166" s="136" t="s">
        <v>180</v>
      </c>
      <c r="B166" s="136" t="str">
        <f t="shared" si="6"/>
        <v>KILSTETT</v>
      </c>
      <c r="C166" s="342" t="str">
        <f t="shared" si="5"/>
        <v>chape s42</v>
      </c>
      <c r="D166" s="137" t="s">
        <v>219</v>
      </c>
      <c r="E166" s="348">
        <v>43</v>
      </c>
      <c r="F166" s="349"/>
      <c r="G166" s="355"/>
    </row>
    <row r="167" spans="1:7" x14ac:dyDescent="0.25">
      <c r="A167" s="160" t="s">
        <v>214</v>
      </c>
      <c r="B167" s="160" t="str">
        <f t="shared" si="6"/>
        <v>BUST</v>
      </c>
      <c r="C167" s="342" t="str">
        <f t="shared" si="5"/>
        <v>couvert</v>
      </c>
      <c r="D167" s="137" t="s">
        <v>219</v>
      </c>
      <c r="E167" s="348">
        <v>49</v>
      </c>
      <c r="F167" s="349"/>
      <c r="G167" s="356"/>
    </row>
    <row r="168" spans="1:7" ht="15.75" customHeight="1" x14ac:dyDescent="0.25">
      <c r="A168" s="160" t="s">
        <v>202</v>
      </c>
      <c r="B168" s="160" t="str">
        <f t="shared" si="6"/>
        <v>LUTZELHOUSE</v>
      </c>
      <c r="C168" s="342" t="str">
        <f t="shared" si="5"/>
        <v>charpente</v>
      </c>
      <c r="D168" s="343" t="s">
        <v>219</v>
      </c>
      <c r="E168" s="348">
        <v>50</v>
      </c>
      <c r="F168" s="349"/>
      <c r="G168" s="356"/>
    </row>
    <row r="169" spans="1:7" x14ac:dyDescent="0.25">
      <c r="A169" s="160" t="s">
        <v>282</v>
      </c>
      <c r="B169" s="160" t="str">
        <f t="shared" si="6"/>
        <v>BREUSCHWICKERSHEIM</v>
      </c>
      <c r="C169" s="177" t="str">
        <f t="shared" si="5"/>
        <v>fondations</v>
      </c>
      <c r="D169" s="343"/>
      <c r="E169" s="348"/>
      <c r="F169" s="349"/>
      <c r="G169" s="356"/>
    </row>
    <row r="170" spans="1:7" x14ac:dyDescent="0.25">
      <c r="A170" s="160" t="s">
        <v>363</v>
      </c>
      <c r="B170" s="160" t="str">
        <f t="shared" si="6"/>
        <v>GAMBSHEIM</v>
      </c>
      <c r="C170" s="177" t="str">
        <f t="shared" si="5"/>
        <v>marchés en cours</v>
      </c>
      <c r="D170" s="343"/>
      <c r="E170" s="348"/>
      <c r="F170" s="349"/>
      <c r="G170" s="356"/>
    </row>
    <row r="171" spans="1:7" x14ac:dyDescent="0.25">
      <c r="A171" s="160" t="s">
        <v>364</v>
      </c>
      <c r="B171" s="160" t="str">
        <f t="shared" si="6"/>
        <v>OBERLAUTERBACH</v>
      </c>
      <c r="C171" s="177" t="str">
        <f t="shared" si="5"/>
        <v>marchés S43</v>
      </c>
      <c r="D171" s="343"/>
      <c r="E171" s="348"/>
      <c r="F171" s="349"/>
      <c r="G171" s="360"/>
    </row>
    <row r="172" spans="1:7" x14ac:dyDescent="0.25">
      <c r="A172" s="160" t="s">
        <v>181</v>
      </c>
      <c r="B172" s="161" t="str">
        <f t="shared" si="6"/>
        <v>OBERMODERN-ZUTZENDORF</v>
      </c>
      <c r="C172" s="177" t="str">
        <f t="shared" si="5"/>
        <v>chape s41</v>
      </c>
      <c r="D172" s="343" t="s">
        <v>219</v>
      </c>
      <c r="E172" s="348">
        <v>42</v>
      </c>
      <c r="F172" s="348"/>
      <c r="G172" s="356"/>
    </row>
    <row r="173" spans="1:7" x14ac:dyDescent="0.25">
      <c r="A173" s="160" t="s">
        <v>164</v>
      </c>
      <c r="B173" s="161" t="str">
        <f t="shared" si="6"/>
        <v>WILDERSBACH</v>
      </c>
      <c r="C173" s="177" t="str">
        <f t="shared" si="5"/>
        <v>à receptionner</v>
      </c>
      <c r="D173" s="343"/>
      <c r="E173" s="348"/>
      <c r="F173" s="348"/>
      <c r="G173" s="356"/>
    </row>
    <row r="174" spans="1:7" x14ac:dyDescent="0.25">
      <c r="A174" s="160" t="s">
        <v>248</v>
      </c>
      <c r="B174" s="161" t="str">
        <f t="shared" si="6"/>
        <v>AVENHEIM</v>
      </c>
      <c r="C174" s="177" t="str">
        <f t="shared" si="5"/>
        <v>dalle basse RDC</v>
      </c>
      <c r="D174" s="343"/>
      <c r="E174" s="348"/>
      <c r="F174" s="348"/>
      <c r="G174" s="356"/>
    </row>
    <row r="175" spans="1:7" x14ac:dyDescent="0.25">
      <c r="A175" s="160"/>
      <c r="B175" s="177"/>
      <c r="C175" s="343"/>
      <c r="D175" s="148"/>
      <c r="E175" s="348"/>
      <c r="F175" s="348"/>
    </row>
    <row r="178" spans="1:8" x14ac:dyDescent="0.25">
      <c r="A178" s="407" t="s">
        <v>373</v>
      </c>
      <c r="B178" s="407"/>
      <c r="C178" s="407"/>
      <c r="D178" s="407"/>
      <c r="E178" s="407"/>
      <c r="F178" s="407"/>
      <c r="G178" s="407"/>
    </row>
    <row r="179" spans="1:8" ht="15.75" thickBot="1" x14ac:dyDescent="0.3">
      <c r="A179" s="407" t="s">
        <v>374</v>
      </c>
      <c r="B179" s="407"/>
      <c r="C179" s="407"/>
      <c r="D179" s="407"/>
      <c r="E179" s="407"/>
      <c r="F179" s="407"/>
      <c r="G179" s="407"/>
    </row>
    <row r="180" spans="1:8" ht="15" customHeight="1" x14ac:dyDescent="0.25">
      <c r="C180" s="401" t="s">
        <v>80</v>
      </c>
      <c r="D180" s="402"/>
    </row>
    <row r="181" spans="1:8" ht="6.75" customHeight="1" x14ac:dyDescent="0.25">
      <c r="C181" s="403"/>
      <c r="D181" s="404"/>
    </row>
    <row r="182" spans="1:8" ht="27" customHeight="1" thickBot="1" x14ac:dyDescent="0.3">
      <c r="C182" s="405"/>
      <c r="D182" s="406"/>
    </row>
    <row r="183" spans="1:8" ht="27" customHeight="1" thickBot="1" x14ac:dyDescent="0.3">
      <c r="C183" s="121" t="s">
        <v>1</v>
      </c>
      <c r="D183" s="113">
        <f ca="1">D4</f>
        <v>41</v>
      </c>
    </row>
    <row r="184" spans="1:8" ht="15" customHeight="1" x14ac:dyDescent="0.25">
      <c r="C184" s="121"/>
      <c r="H184" s="119"/>
    </row>
    <row r="185" spans="1:8" ht="10.5" customHeight="1" x14ac:dyDescent="0.25">
      <c r="C185" s="109"/>
      <c r="D185" s="109"/>
      <c r="E185" s="348"/>
      <c r="F185" s="348"/>
    </row>
    <row r="186" spans="1:8" ht="21.75" customHeight="1" x14ac:dyDescent="0.4">
      <c r="B186" s="114" t="s">
        <v>77</v>
      </c>
      <c r="C186" s="114" t="s">
        <v>52</v>
      </c>
      <c r="D186" s="342" t="s">
        <v>86</v>
      </c>
      <c r="E186" s="141"/>
      <c r="F186" s="348"/>
    </row>
    <row r="187" spans="1:8" ht="16.5" customHeight="1" x14ac:dyDescent="0.3">
      <c r="C187" s="110"/>
      <c r="D187" s="109"/>
      <c r="E187" s="348"/>
      <c r="F187" s="348"/>
    </row>
    <row r="188" spans="1:8" s="138" customFormat="1" ht="16.5" customHeight="1" x14ac:dyDescent="0.25">
      <c r="A188" s="369" t="s">
        <v>78</v>
      </c>
      <c r="B188" s="369" t="s">
        <v>294</v>
      </c>
      <c r="C188" s="141" t="s">
        <v>79</v>
      </c>
      <c r="D188" s="112" t="s">
        <v>375</v>
      </c>
      <c r="E188" s="348" t="s">
        <v>352</v>
      </c>
      <c r="F188" s="348" t="s">
        <v>369</v>
      </c>
      <c r="G188" s="141" t="s">
        <v>126</v>
      </c>
    </row>
    <row r="189" spans="1:8" ht="16.5" customHeight="1" x14ac:dyDescent="0.25">
      <c r="A189" s="111" t="s">
        <v>213</v>
      </c>
      <c r="B189" s="111" t="str">
        <f t="shared" ref="B189:B218" si="7">B10</f>
        <v>PFETTISHEIM</v>
      </c>
      <c r="C189" s="342" t="str">
        <f t="shared" ref="C189:C218" si="8">C10</f>
        <v>pignons</v>
      </c>
      <c r="D189" s="117"/>
      <c r="E189" s="349"/>
      <c r="F189" s="348"/>
      <c r="G189" s="354"/>
    </row>
    <row r="190" spans="1:8" x14ac:dyDescent="0.25">
      <c r="A190" s="116" t="s">
        <v>278</v>
      </c>
      <c r="B190" s="116" t="str">
        <f t="shared" si="7"/>
        <v>BLIENSCHWILLER</v>
      </c>
      <c r="C190" s="342" t="str">
        <f t="shared" si="8"/>
        <v>fondations</v>
      </c>
      <c r="D190" s="117"/>
      <c r="E190" s="349"/>
      <c r="F190" s="349"/>
      <c r="G190" s="355"/>
    </row>
    <row r="191" spans="1:8" x14ac:dyDescent="0.25">
      <c r="A191" s="116" t="s">
        <v>259</v>
      </c>
      <c r="B191" s="116" t="str">
        <f t="shared" si="7"/>
        <v>BERSTHEIM</v>
      </c>
      <c r="C191" s="342" t="str">
        <f t="shared" si="8"/>
        <v>dalle basse RDC</v>
      </c>
      <c r="D191" s="117"/>
      <c r="E191" s="349"/>
      <c r="F191" s="349"/>
      <c r="G191" s="355"/>
    </row>
    <row r="192" spans="1:8" x14ac:dyDescent="0.25">
      <c r="A192" s="116" t="s">
        <v>279</v>
      </c>
      <c r="B192" s="116" t="str">
        <f t="shared" si="7"/>
        <v>FRIEDOLSHEIM</v>
      </c>
      <c r="C192" s="342" t="str">
        <f t="shared" si="8"/>
        <v>dalle basse RDC</v>
      </c>
      <c r="D192" s="117" t="s">
        <v>221</v>
      </c>
      <c r="E192" s="349">
        <v>4</v>
      </c>
      <c r="F192" s="349"/>
      <c r="G192" s="355"/>
    </row>
    <row r="193" spans="1:7" x14ac:dyDescent="0.25">
      <c r="A193" s="116" t="s">
        <v>179</v>
      </c>
      <c r="B193" s="116" t="str">
        <f t="shared" si="7"/>
        <v>GERTSHEIM</v>
      </c>
      <c r="C193" s="342" t="str">
        <f t="shared" si="8"/>
        <v>à receptionner</v>
      </c>
      <c r="D193" s="117"/>
      <c r="E193" s="349"/>
      <c r="F193" s="349"/>
      <c r="G193" s="355"/>
    </row>
    <row r="194" spans="1:7" x14ac:dyDescent="0.25">
      <c r="A194" s="116" t="s">
        <v>197</v>
      </c>
      <c r="B194" s="116" t="str">
        <f t="shared" si="7"/>
        <v>STRASBOURG</v>
      </c>
      <c r="C194" s="342" t="str">
        <f t="shared" si="8"/>
        <v>chape s42</v>
      </c>
      <c r="D194" s="117" t="s">
        <v>221</v>
      </c>
      <c r="E194" s="349">
        <v>42</v>
      </c>
      <c r="F194" s="349"/>
      <c r="G194" s="355"/>
    </row>
    <row r="195" spans="1:7" x14ac:dyDescent="0.25">
      <c r="A195" s="116" t="s">
        <v>280</v>
      </c>
      <c r="B195" s="116" t="str">
        <f t="shared" si="7"/>
        <v>HENGWILLER</v>
      </c>
      <c r="C195" s="342" t="str">
        <f t="shared" si="8"/>
        <v>soubassement</v>
      </c>
      <c r="D195" s="117" t="s">
        <v>221</v>
      </c>
      <c r="E195" s="349">
        <v>5</v>
      </c>
      <c r="F195" s="349"/>
      <c r="G195" s="355"/>
    </row>
    <row r="196" spans="1:7" x14ac:dyDescent="0.25">
      <c r="A196" s="116" t="s">
        <v>198</v>
      </c>
      <c r="B196" s="116" t="str">
        <f t="shared" si="7"/>
        <v>HANGENBIENTEN</v>
      </c>
      <c r="C196" s="342" t="str">
        <f t="shared" si="8"/>
        <v>dalle basse RDC</v>
      </c>
      <c r="D196" s="117" t="s">
        <v>307</v>
      </c>
      <c r="E196" s="349"/>
      <c r="F196" s="349"/>
      <c r="G196" s="355"/>
    </row>
    <row r="197" spans="1:7" ht="15" customHeight="1" x14ac:dyDescent="0.25">
      <c r="A197" s="116" t="s">
        <v>281</v>
      </c>
      <c r="B197" s="116" t="str">
        <f t="shared" si="7"/>
        <v>OBERHOFFEN</v>
      </c>
      <c r="C197" s="342" t="str">
        <f t="shared" si="8"/>
        <v>dalle basse RDC</v>
      </c>
      <c r="D197" s="117" t="s">
        <v>221</v>
      </c>
      <c r="E197" s="349">
        <v>5</v>
      </c>
      <c r="F197" s="349"/>
      <c r="G197" s="361"/>
    </row>
    <row r="198" spans="1:7" x14ac:dyDescent="0.25">
      <c r="A198" s="116" t="s">
        <v>199</v>
      </c>
      <c r="B198" s="116" t="str">
        <f t="shared" si="7"/>
        <v>EBERSHEIM</v>
      </c>
      <c r="C198" s="342" t="str">
        <f t="shared" si="8"/>
        <v>couvert</v>
      </c>
      <c r="D198" s="117"/>
      <c r="E198" s="349"/>
      <c r="F198" s="349"/>
      <c r="G198" s="355"/>
    </row>
    <row r="199" spans="1:7" x14ac:dyDescent="0.25">
      <c r="A199" s="116" t="s">
        <v>256</v>
      </c>
      <c r="B199" s="116" t="str">
        <f t="shared" si="7"/>
        <v>DINSHEIM S/ BRUCHE</v>
      </c>
      <c r="C199" s="342" t="str">
        <f t="shared" si="8"/>
        <v>GO fini</v>
      </c>
      <c r="D199" s="117"/>
      <c r="E199" s="349"/>
      <c r="F199" s="349"/>
      <c r="G199" s="355"/>
    </row>
    <row r="200" spans="1:7" x14ac:dyDescent="0.25">
      <c r="A200" s="116" t="s">
        <v>357</v>
      </c>
      <c r="B200" s="116" t="str">
        <f t="shared" si="7"/>
        <v>MOLSHEIM</v>
      </c>
      <c r="C200" s="342" t="str">
        <f t="shared" si="8"/>
        <v>marchés en cours</v>
      </c>
      <c r="D200" s="117"/>
      <c r="E200" s="349"/>
      <c r="F200" s="349"/>
      <c r="G200" s="355"/>
    </row>
    <row r="201" spans="1:7" x14ac:dyDescent="0.25">
      <c r="A201" s="116" t="s">
        <v>200</v>
      </c>
      <c r="B201" s="116" t="str">
        <f t="shared" si="7"/>
        <v>KLEINFRANKENHEIM</v>
      </c>
      <c r="C201" s="342" t="str">
        <f t="shared" si="8"/>
        <v>second œuvre en cours charge client</v>
      </c>
      <c r="D201" s="117"/>
      <c r="E201" s="349"/>
      <c r="F201" s="349"/>
      <c r="G201" s="355"/>
    </row>
    <row r="202" spans="1:7" x14ac:dyDescent="0.25">
      <c r="A202" s="116" t="s">
        <v>161</v>
      </c>
      <c r="B202" s="116" t="str">
        <f t="shared" si="7"/>
        <v>HANGENBIENTEN</v>
      </c>
      <c r="C202" s="342" t="str">
        <f t="shared" si="8"/>
        <v>chape</v>
      </c>
      <c r="D202" s="117"/>
      <c r="E202" s="349"/>
      <c r="F202" s="349"/>
      <c r="G202" s="355"/>
    </row>
    <row r="203" spans="1:7" x14ac:dyDescent="0.25">
      <c r="A203" s="116" t="s">
        <v>185</v>
      </c>
      <c r="B203" s="116" t="str">
        <f t="shared" si="7"/>
        <v>PETERSBACH</v>
      </c>
      <c r="C203" s="342" t="str">
        <f t="shared" si="8"/>
        <v>couvert</v>
      </c>
      <c r="D203" s="117"/>
      <c r="E203" s="349"/>
      <c r="F203" s="349"/>
      <c r="G203" s="355"/>
    </row>
    <row r="204" spans="1:7" ht="14.25" customHeight="1" x14ac:dyDescent="0.25">
      <c r="A204" s="116" t="s">
        <v>162</v>
      </c>
      <c r="B204" s="116" t="str">
        <f t="shared" si="7"/>
        <v>ENTZHEIM</v>
      </c>
      <c r="C204" s="342" t="str">
        <f t="shared" si="8"/>
        <v>chape</v>
      </c>
      <c r="D204" s="117"/>
      <c r="E204" s="349"/>
      <c r="F204" s="349"/>
      <c r="G204" s="355"/>
    </row>
    <row r="205" spans="1:7" x14ac:dyDescent="0.25">
      <c r="A205" s="116" t="s">
        <v>152</v>
      </c>
      <c r="B205" s="116" t="str">
        <f t="shared" si="7"/>
        <v>KILSTETT</v>
      </c>
      <c r="C205" s="342" t="str">
        <f t="shared" si="8"/>
        <v>chantier en arrêt</v>
      </c>
      <c r="D205" s="343"/>
      <c r="E205" s="348"/>
      <c r="F205" s="349"/>
      <c r="G205" s="355"/>
    </row>
    <row r="206" spans="1:7" x14ac:dyDescent="0.25">
      <c r="A206" s="116" t="s">
        <v>218</v>
      </c>
      <c r="B206" s="116" t="str">
        <f t="shared" si="7"/>
        <v>ESCHBACH</v>
      </c>
      <c r="C206" s="342" t="str">
        <f t="shared" si="8"/>
        <v>couvert</v>
      </c>
      <c r="D206" s="137" t="s">
        <v>221</v>
      </c>
      <c r="E206" s="349">
        <v>49</v>
      </c>
      <c r="F206" s="349"/>
      <c r="G206" s="355"/>
    </row>
    <row r="207" spans="1:7" x14ac:dyDescent="0.25">
      <c r="A207" s="116" t="s">
        <v>163</v>
      </c>
      <c r="B207" s="116" t="str">
        <f t="shared" si="7"/>
        <v>BISCHWILLER</v>
      </c>
      <c r="C207" s="342" t="str">
        <f t="shared" si="8"/>
        <v>chape s42</v>
      </c>
      <c r="D207" s="137" t="s">
        <v>221</v>
      </c>
      <c r="E207" s="349">
        <v>42</v>
      </c>
      <c r="F207" s="349"/>
      <c r="G207" s="355"/>
    </row>
    <row r="208" spans="1:7" x14ac:dyDescent="0.25">
      <c r="A208" s="116" t="s">
        <v>153</v>
      </c>
      <c r="B208" s="116" t="str">
        <f t="shared" si="7"/>
        <v>PFETTISHEIM</v>
      </c>
      <c r="C208" s="342" t="str">
        <f t="shared" si="8"/>
        <v>à receptionner</v>
      </c>
      <c r="D208" s="137"/>
      <c r="E208" s="349"/>
      <c r="F208" s="349"/>
      <c r="G208" s="355"/>
    </row>
    <row r="209" spans="1:7" x14ac:dyDescent="0.25">
      <c r="A209" s="116" t="s">
        <v>201</v>
      </c>
      <c r="B209" s="116" t="str">
        <f t="shared" si="7"/>
        <v>KINDWILLER</v>
      </c>
      <c r="C209" s="342" t="str">
        <f t="shared" si="8"/>
        <v>clos couvert</v>
      </c>
      <c r="D209" s="137"/>
      <c r="E209" s="349"/>
      <c r="F209" s="349"/>
      <c r="G209" s="355"/>
    </row>
    <row r="210" spans="1:7" x14ac:dyDescent="0.25">
      <c r="A210" s="136" t="s">
        <v>180</v>
      </c>
      <c r="B210" s="136" t="str">
        <f t="shared" si="7"/>
        <v>KILSTETT</v>
      </c>
      <c r="C210" s="342" t="str">
        <f t="shared" si="8"/>
        <v>chape s42</v>
      </c>
      <c r="D210" s="137"/>
      <c r="E210" s="349"/>
      <c r="F210" s="349"/>
      <c r="G210" s="355"/>
    </row>
    <row r="211" spans="1:7" x14ac:dyDescent="0.25">
      <c r="A211" s="136" t="s">
        <v>214</v>
      </c>
      <c r="B211" s="136" t="str">
        <f t="shared" si="7"/>
        <v>BUST</v>
      </c>
      <c r="C211" s="342" t="str">
        <f t="shared" si="8"/>
        <v>couvert</v>
      </c>
      <c r="D211" s="117" t="s">
        <v>221</v>
      </c>
      <c r="E211" s="349">
        <v>48</v>
      </c>
      <c r="F211" s="348"/>
      <c r="G211" s="356"/>
    </row>
    <row r="212" spans="1:7" x14ac:dyDescent="0.25">
      <c r="A212" s="160" t="s">
        <v>202</v>
      </c>
      <c r="B212" s="160" t="str">
        <f t="shared" si="7"/>
        <v>LUTZELHOUSE</v>
      </c>
      <c r="C212" s="342" t="str">
        <f t="shared" si="8"/>
        <v>charpente</v>
      </c>
      <c r="D212" s="117"/>
      <c r="E212" s="349"/>
      <c r="F212" s="349"/>
      <c r="G212" s="355"/>
    </row>
    <row r="213" spans="1:7" x14ac:dyDescent="0.25">
      <c r="A213" s="160" t="s">
        <v>282</v>
      </c>
      <c r="B213" s="160" t="str">
        <f t="shared" si="7"/>
        <v>BREUSCHWICKERSHEIM</v>
      </c>
      <c r="C213" s="343" t="str">
        <f t="shared" si="8"/>
        <v>fondations</v>
      </c>
      <c r="D213" s="117"/>
      <c r="E213" s="349"/>
      <c r="F213" s="348"/>
      <c r="G213" s="356"/>
    </row>
    <row r="214" spans="1:7" x14ac:dyDescent="0.25">
      <c r="A214" s="160" t="s">
        <v>363</v>
      </c>
      <c r="B214" s="160" t="str">
        <f t="shared" si="7"/>
        <v>GAMBSHEIM</v>
      </c>
      <c r="C214" s="343" t="str">
        <f t="shared" si="8"/>
        <v>marchés en cours</v>
      </c>
      <c r="D214" s="117"/>
      <c r="E214" s="349"/>
      <c r="F214" s="348"/>
      <c r="G214" s="356"/>
    </row>
    <row r="215" spans="1:7" x14ac:dyDescent="0.25">
      <c r="A215" s="160" t="s">
        <v>364</v>
      </c>
      <c r="B215" s="160" t="str">
        <f t="shared" si="7"/>
        <v>OBERLAUTERBACH</v>
      </c>
      <c r="C215" s="343" t="str">
        <f t="shared" si="8"/>
        <v>marchés S43</v>
      </c>
      <c r="D215" s="343"/>
      <c r="E215" s="348"/>
      <c r="F215" s="350"/>
      <c r="G215" s="362"/>
    </row>
    <row r="216" spans="1:7" x14ac:dyDescent="0.25">
      <c r="A216" s="160" t="s">
        <v>181</v>
      </c>
      <c r="B216" s="161" t="str">
        <f t="shared" si="7"/>
        <v>OBERMODERN-ZUTZENDORF</v>
      </c>
      <c r="C216" s="343" t="str">
        <f t="shared" si="8"/>
        <v>chape s41</v>
      </c>
      <c r="D216" s="137"/>
      <c r="E216" s="348"/>
      <c r="F216" s="353"/>
      <c r="G216" s="356"/>
    </row>
    <row r="217" spans="1:7" x14ac:dyDescent="0.25">
      <c r="A217" s="160" t="s">
        <v>164</v>
      </c>
      <c r="B217" s="161" t="str">
        <f t="shared" si="7"/>
        <v>WILDERSBACH</v>
      </c>
      <c r="C217" s="137" t="str">
        <f t="shared" si="8"/>
        <v>à receptionner</v>
      </c>
      <c r="D217" s="137"/>
      <c r="E217" s="350"/>
      <c r="F217" s="348"/>
      <c r="G217" s="356"/>
    </row>
    <row r="218" spans="1:7" x14ac:dyDescent="0.25">
      <c r="A218" s="160" t="s">
        <v>248</v>
      </c>
      <c r="B218" s="161" t="str">
        <f t="shared" si="7"/>
        <v>AVENHEIM</v>
      </c>
      <c r="C218" s="343" t="str">
        <f t="shared" si="8"/>
        <v>dalle basse RDC</v>
      </c>
      <c r="D218" s="117" t="s">
        <v>221</v>
      </c>
      <c r="E218" s="349">
        <v>2</v>
      </c>
      <c r="F218" s="348"/>
      <c r="G218" s="356"/>
    </row>
    <row r="219" spans="1:7" x14ac:dyDescent="0.25">
      <c r="A219" s="160"/>
      <c r="B219" s="343"/>
      <c r="C219" s="343"/>
      <c r="D219" s="148"/>
      <c r="E219" s="348"/>
      <c r="F219" s="348"/>
    </row>
    <row r="223" spans="1:7" x14ac:dyDescent="0.25">
      <c r="A223" s="407" t="s">
        <v>373</v>
      </c>
      <c r="B223" s="407"/>
      <c r="C223" s="407"/>
      <c r="D223" s="407"/>
      <c r="E223" s="407"/>
      <c r="F223" s="407"/>
      <c r="G223" s="407"/>
    </row>
    <row r="224" spans="1:7" ht="15.75" thickBot="1" x14ac:dyDescent="0.3">
      <c r="A224" s="407" t="s">
        <v>374</v>
      </c>
      <c r="B224" s="407"/>
      <c r="C224" s="407"/>
      <c r="D224" s="407"/>
      <c r="E224" s="407"/>
      <c r="F224" s="407"/>
      <c r="G224" s="407"/>
    </row>
    <row r="225" spans="1:8" ht="15" customHeight="1" x14ac:dyDescent="0.25">
      <c r="C225" s="401" t="s">
        <v>80</v>
      </c>
      <c r="D225" s="402"/>
    </row>
    <row r="226" spans="1:8" ht="6.75" customHeight="1" x14ac:dyDescent="0.25">
      <c r="C226" s="403"/>
      <c r="D226" s="404"/>
    </row>
    <row r="227" spans="1:8" ht="27" customHeight="1" thickBot="1" x14ac:dyDescent="0.3">
      <c r="C227" s="405"/>
      <c r="D227" s="406"/>
    </row>
    <row r="228" spans="1:8" ht="27" customHeight="1" thickBot="1" x14ac:dyDescent="0.3">
      <c r="C228" s="121" t="s">
        <v>1</v>
      </c>
      <c r="D228" s="113">
        <f ca="1">D4</f>
        <v>41</v>
      </c>
    </row>
    <row r="229" spans="1:8" ht="15" customHeight="1" x14ac:dyDescent="0.25">
      <c r="C229" s="121"/>
      <c r="H229" s="119"/>
    </row>
    <row r="230" spans="1:8" ht="10.5" customHeight="1" x14ac:dyDescent="0.25">
      <c r="C230" s="109"/>
      <c r="D230" s="109"/>
      <c r="E230" s="348"/>
      <c r="F230" s="348"/>
    </row>
    <row r="231" spans="1:8" ht="21.75" customHeight="1" x14ac:dyDescent="0.4">
      <c r="B231" s="114" t="s">
        <v>77</v>
      </c>
      <c r="C231" s="114" t="s">
        <v>49</v>
      </c>
      <c r="D231" s="342" t="s">
        <v>87</v>
      </c>
      <c r="E231" s="141"/>
      <c r="F231" s="348"/>
    </row>
    <row r="232" spans="1:8" ht="21.75" customHeight="1" x14ac:dyDescent="0.4">
      <c r="B232" s="114"/>
      <c r="C232" s="114"/>
      <c r="D232" s="342"/>
      <c r="E232" s="348"/>
      <c r="F232" s="348"/>
    </row>
    <row r="233" spans="1:8" s="138" customFormat="1" ht="16.5" customHeight="1" x14ac:dyDescent="0.25">
      <c r="A233" s="369" t="s">
        <v>78</v>
      </c>
      <c r="B233" s="369" t="s">
        <v>294</v>
      </c>
      <c r="C233" s="141" t="s">
        <v>79</v>
      </c>
      <c r="D233" s="112" t="s">
        <v>375</v>
      </c>
      <c r="E233" s="348" t="s">
        <v>352</v>
      </c>
      <c r="F233" s="348" t="s">
        <v>369</v>
      </c>
      <c r="G233" s="141" t="s">
        <v>126</v>
      </c>
    </row>
    <row r="234" spans="1:8" ht="16.5" customHeight="1" x14ac:dyDescent="0.25">
      <c r="A234" s="136" t="s">
        <v>213</v>
      </c>
      <c r="B234" s="136" t="str">
        <f t="shared" ref="B234:B263" si="9">B10</f>
        <v>PFETTISHEIM</v>
      </c>
      <c r="C234" s="342" t="str">
        <f t="shared" ref="C234:C263" si="10">C10</f>
        <v>pignons</v>
      </c>
      <c r="D234" s="117"/>
      <c r="E234" s="349"/>
      <c r="F234" s="349"/>
      <c r="G234" s="355"/>
    </row>
    <row r="235" spans="1:8" x14ac:dyDescent="0.25">
      <c r="A235" s="136" t="s">
        <v>278</v>
      </c>
      <c r="B235" s="136" t="str">
        <f t="shared" si="9"/>
        <v>BLIENSCHWILLER</v>
      </c>
      <c r="C235" s="342" t="str">
        <f t="shared" si="10"/>
        <v>fondations</v>
      </c>
      <c r="D235" s="117"/>
      <c r="E235" s="349"/>
      <c r="F235" s="349"/>
      <c r="G235" s="162"/>
    </row>
    <row r="236" spans="1:8" x14ac:dyDescent="0.25">
      <c r="A236" s="136" t="s">
        <v>259</v>
      </c>
      <c r="B236" s="136" t="str">
        <f t="shared" si="9"/>
        <v>BERSTHEIM</v>
      </c>
      <c r="C236" s="342" t="str">
        <f t="shared" si="10"/>
        <v>dalle basse RDC</v>
      </c>
      <c r="D236" s="117" t="s">
        <v>134</v>
      </c>
      <c r="E236" s="349" t="s">
        <v>309</v>
      </c>
      <c r="F236" s="349"/>
      <c r="G236" s="162"/>
    </row>
    <row r="237" spans="1:8" x14ac:dyDescent="0.25">
      <c r="A237" s="136" t="s">
        <v>279</v>
      </c>
      <c r="B237" s="136" t="str">
        <f t="shared" si="9"/>
        <v>FRIEDOLSHEIM</v>
      </c>
      <c r="C237" s="342" t="str">
        <f t="shared" si="10"/>
        <v>dalle basse RDC</v>
      </c>
      <c r="D237" s="117"/>
      <c r="E237" s="349"/>
      <c r="F237" s="349"/>
      <c r="G237" s="355"/>
    </row>
    <row r="238" spans="1:8" x14ac:dyDescent="0.25">
      <c r="A238" s="136" t="s">
        <v>179</v>
      </c>
      <c r="B238" s="136" t="str">
        <f t="shared" si="9"/>
        <v>GERTSHEIM</v>
      </c>
      <c r="C238" s="342" t="str">
        <f t="shared" si="10"/>
        <v>à receptionner</v>
      </c>
      <c r="D238" s="137"/>
      <c r="E238" s="349"/>
      <c r="F238" s="349"/>
      <c r="G238" s="355"/>
    </row>
    <row r="239" spans="1:8" x14ac:dyDescent="0.25">
      <c r="A239" s="136" t="s">
        <v>197</v>
      </c>
      <c r="B239" s="136" t="str">
        <f t="shared" si="9"/>
        <v>STRASBOURG</v>
      </c>
      <c r="C239" s="342" t="str">
        <f t="shared" si="10"/>
        <v>chape s42</v>
      </c>
      <c r="D239" s="117"/>
      <c r="E239" s="349"/>
      <c r="F239" s="349"/>
      <c r="G239" s="355"/>
    </row>
    <row r="240" spans="1:8" x14ac:dyDescent="0.25">
      <c r="A240" s="136" t="s">
        <v>280</v>
      </c>
      <c r="B240" s="136" t="str">
        <f t="shared" si="9"/>
        <v>HENGWILLER</v>
      </c>
      <c r="C240" s="342" t="str">
        <f t="shared" si="10"/>
        <v>soubassement</v>
      </c>
      <c r="D240" s="117"/>
      <c r="E240" s="349"/>
      <c r="F240" s="349"/>
      <c r="G240" s="355"/>
    </row>
    <row r="241" spans="1:7" x14ac:dyDescent="0.25">
      <c r="A241" s="136" t="s">
        <v>198</v>
      </c>
      <c r="B241" s="136" t="str">
        <f t="shared" si="9"/>
        <v>HANGENBIENTEN</v>
      </c>
      <c r="C241" s="342" t="str">
        <f t="shared" si="10"/>
        <v>dalle basse RDC</v>
      </c>
      <c r="D241" s="137"/>
      <c r="E241" s="349"/>
      <c r="F241" s="349"/>
      <c r="G241" s="355"/>
    </row>
    <row r="242" spans="1:7" x14ac:dyDescent="0.25">
      <c r="A242" s="136" t="s">
        <v>281</v>
      </c>
      <c r="B242" s="136" t="str">
        <f t="shared" si="9"/>
        <v>OBERHOFFEN</v>
      </c>
      <c r="C242" s="342" t="str">
        <f t="shared" si="10"/>
        <v>dalle basse RDC</v>
      </c>
      <c r="D242" s="137" t="s">
        <v>310</v>
      </c>
      <c r="E242" s="349">
        <v>42</v>
      </c>
      <c r="F242" s="349"/>
      <c r="G242" s="355"/>
    </row>
    <row r="243" spans="1:7" x14ac:dyDescent="0.25">
      <c r="A243" s="136" t="s">
        <v>199</v>
      </c>
      <c r="B243" s="136" t="str">
        <f t="shared" si="9"/>
        <v>EBERSHEIM</v>
      </c>
      <c r="C243" s="342" t="str">
        <f t="shared" si="10"/>
        <v>couvert</v>
      </c>
      <c r="D243" s="137"/>
      <c r="E243" s="349"/>
      <c r="F243" s="349"/>
      <c r="G243" s="355"/>
    </row>
    <row r="244" spans="1:7" x14ac:dyDescent="0.25">
      <c r="A244" s="136" t="s">
        <v>256</v>
      </c>
      <c r="B244" s="136" t="str">
        <f t="shared" si="9"/>
        <v>DINSHEIM S/ BRUCHE</v>
      </c>
      <c r="C244" s="342" t="str">
        <f t="shared" si="10"/>
        <v>GO fini</v>
      </c>
      <c r="D244" s="137"/>
      <c r="E244" s="349"/>
      <c r="F244" s="349"/>
      <c r="G244" s="355"/>
    </row>
    <row r="245" spans="1:7" x14ac:dyDescent="0.25">
      <c r="A245" s="136" t="s">
        <v>357</v>
      </c>
      <c r="B245" s="136" t="str">
        <f t="shared" si="9"/>
        <v>MOLSHEIM</v>
      </c>
      <c r="C245" s="342" t="str">
        <f t="shared" si="10"/>
        <v>marchés en cours</v>
      </c>
      <c r="D245" s="117"/>
      <c r="E245" s="349"/>
      <c r="F245" s="349"/>
      <c r="G245" s="355"/>
    </row>
    <row r="246" spans="1:7" x14ac:dyDescent="0.25">
      <c r="A246" s="136" t="s">
        <v>200</v>
      </c>
      <c r="B246" s="136" t="str">
        <f t="shared" si="9"/>
        <v>KLEINFRANKENHEIM</v>
      </c>
      <c r="C246" s="342" t="str">
        <f t="shared" si="10"/>
        <v>second œuvre en cours charge client</v>
      </c>
      <c r="D246" s="117"/>
      <c r="E246" s="349"/>
      <c r="F246" s="349"/>
      <c r="G246" s="355"/>
    </row>
    <row r="247" spans="1:7" x14ac:dyDescent="0.25">
      <c r="A247" s="136" t="s">
        <v>161</v>
      </c>
      <c r="B247" s="136" t="str">
        <f t="shared" si="9"/>
        <v>HANGENBIENTEN</v>
      </c>
      <c r="C247" s="342" t="str">
        <f t="shared" si="10"/>
        <v>chape</v>
      </c>
      <c r="D247" s="343"/>
      <c r="E247" s="348"/>
      <c r="F247" s="348"/>
      <c r="G247" s="356"/>
    </row>
    <row r="248" spans="1:7" x14ac:dyDescent="0.25">
      <c r="A248" s="136" t="s">
        <v>185</v>
      </c>
      <c r="B248" s="136" t="str">
        <f t="shared" si="9"/>
        <v>PETERSBACH</v>
      </c>
      <c r="C248" s="342" t="str">
        <f t="shared" si="10"/>
        <v>couvert</v>
      </c>
      <c r="D248" s="343" t="s">
        <v>311</v>
      </c>
      <c r="E248" s="348">
        <v>42</v>
      </c>
      <c r="F248" s="348"/>
      <c r="G248" s="355"/>
    </row>
    <row r="249" spans="1:7" x14ac:dyDescent="0.25">
      <c r="A249" s="136" t="s">
        <v>162</v>
      </c>
      <c r="B249" s="136" t="str">
        <f t="shared" si="9"/>
        <v>ENTZHEIM</v>
      </c>
      <c r="C249" s="342" t="str">
        <f t="shared" si="10"/>
        <v>chape</v>
      </c>
      <c r="D249" s="137"/>
      <c r="E249" s="349"/>
      <c r="F249" s="349"/>
      <c r="G249" s="355"/>
    </row>
    <row r="250" spans="1:7" x14ac:dyDescent="0.25">
      <c r="A250" s="136" t="s">
        <v>152</v>
      </c>
      <c r="B250" s="136" t="str">
        <f t="shared" si="9"/>
        <v>KILSTETT</v>
      </c>
      <c r="C250" s="342" t="str">
        <f t="shared" si="10"/>
        <v>chantier en arrêt</v>
      </c>
      <c r="D250" s="137"/>
      <c r="E250" s="349"/>
      <c r="F250" s="349"/>
      <c r="G250" s="355" t="s">
        <v>312</v>
      </c>
    </row>
    <row r="251" spans="1:7" x14ac:dyDescent="0.25">
      <c r="A251" s="136" t="s">
        <v>218</v>
      </c>
      <c r="B251" s="136" t="str">
        <f t="shared" si="9"/>
        <v>ESCHBACH</v>
      </c>
      <c r="C251" s="342" t="str">
        <f t="shared" si="10"/>
        <v>couvert</v>
      </c>
      <c r="D251" s="137" t="s">
        <v>311</v>
      </c>
      <c r="E251" s="349">
        <v>44</v>
      </c>
      <c r="F251" s="349"/>
      <c r="G251" s="355"/>
    </row>
    <row r="252" spans="1:7" x14ac:dyDescent="0.25">
      <c r="A252" s="136" t="s">
        <v>163</v>
      </c>
      <c r="B252" s="136" t="str">
        <f t="shared" si="9"/>
        <v>BISCHWILLER</v>
      </c>
      <c r="C252" s="342" t="str">
        <f t="shared" si="10"/>
        <v>chape s42</v>
      </c>
      <c r="D252" s="137" t="s">
        <v>230</v>
      </c>
      <c r="E252" s="349">
        <v>44</v>
      </c>
      <c r="F252" s="349"/>
      <c r="G252" s="355"/>
    </row>
    <row r="253" spans="1:7" x14ac:dyDescent="0.25">
      <c r="A253" s="136" t="s">
        <v>153</v>
      </c>
      <c r="B253" s="136" t="str">
        <f t="shared" si="9"/>
        <v>PFETTISHEIM</v>
      </c>
      <c r="C253" s="342" t="str">
        <f t="shared" si="10"/>
        <v>à receptionner</v>
      </c>
      <c r="D253" s="137"/>
      <c r="E253" s="349"/>
      <c r="F253" s="349"/>
      <c r="G253" s="355"/>
    </row>
    <row r="254" spans="1:7" x14ac:dyDescent="0.25">
      <c r="A254" s="136" t="s">
        <v>201</v>
      </c>
      <c r="B254" s="136" t="str">
        <f t="shared" si="9"/>
        <v>KINDWILLER</v>
      </c>
      <c r="C254" s="342" t="str">
        <f t="shared" si="10"/>
        <v>clos couvert</v>
      </c>
      <c r="D254" s="137" t="s">
        <v>311</v>
      </c>
      <c r="E254" s="349">
        <v>42</v>
      </c>
      <c r="F254" s="349"/>
      <c r="G254" s="355"/>
    </row>
    <row r="255" spans="1:7" x14ac:dyDescent="0.25">
      <c r="A255" s="136" t="s">
        <v>180</v>
      </c>
      <c r="B255" s="136" t="str">
        <f t="shared" si="9"/>
        <v>KILSTETT</v>
      </c>
      <c r="C255" s="342" t="str">
        <f t="shared" si="10"/>
        <v>chape s42</v>
      </c>
      <c r="D255" s="137"/>
      <c r="E255" s="349"/>
      <c r="F255" s="349"/>
      <c r="G255" s="355"/>
    </row>
    <row r="256" spans="1:7" x14ac:dyDescent="0.25">
      <c r="A256" s="136" t="s">
        <v>214</v>
      </c>
      <c r="B256" s="136" t="str">
        <f t="shared" si="9"/>
        <v>BUST</v>
      </c>
      <c r="C256" s="342" t="str">
        <f t="shared" si="10"/>
        <v>couvert</v>
      </c>
      <c r="D256" s="137" t="s">
        <v>311</v>
      </c>
      <c r="E256" s="349">
        <v>43</v>
      </c>
      <c r="F256" s="349"/>
      <c r="G256" s="355"/>
    </row>
    <row r="257" spans="1:7" x14ac:dyDescent="0.25">
      <c r="A257" s="160" t="s">
        <v>202</v>
      </c>
      <c r="B257" s="160" t="str">
        <f t="shared" si="9"/>
        <v>LUTZELHOUSE</v>
      </c>
      <c r="C257" s="342" t="str">
        <f t="shared" si="10"/>
        <v>charpente</v>
      </c>
      <c r="D257" s="343"/>
      <c r="E257" s="349"/>
      <c r="F257" s="348"/>
      <c r="G257" s="356"/>
    </row>
    <row r="258" spans="1:7" x14ac:dyDescent="0.25">
      <c r="A258" s="160" t="s">
        <v>282</v>
      </c>
      <c r="B258" s="160" t="str">
        <f t="shared" si="9"/>
        <v>BREUSCHWICKERSHEIM</v>
      </c>
      <c r="C258" s="177" t="str">
        <f t="shared" si="10"/>
        <v>fondations</v>
      </c>
      <c r="D258" s="343"/>
      <c r="E258" s="349"/>
      <c r="F258" s="348"/>
      <c r="G258" s="356"/>
    </row>
    <row r="259" spans="1:7" x14ac:dyDescent="0.25">
      <c r="A259" s="160" t="s">
        <v>363</v>
      </c>
      <c r="B259" s="160" t="str">
        <f t="shared" si="9"/>
        <v>GAMBSHEIM</v>
      </c>
      <c r="C259" s="177" t="str">
        <f t="shared" si="10"/>
        <v>marchés en cours</v>
      </c>
      <c r="D259" s="343"/>
      <c r="E259" s="349"/>
      <c r="F259" s="348"/>
      <c r="G259" s="356"/>
    </row>
    <row r="260" spans="1:7" x14ac:dyDescent="0.25">
      <c r="A260" s="160" t="s">
        <v>364</v>
      </c>
      <c r="B260" s="160" t="str">
        <f t="shared" si="9"/>
        <v>OBERLAUTERBACH</v>
      </c>
      <c r="C260" s="177" t="str">
        <f t="shared" si="10"/>
        <v>marchés S43</v>
      </c>
      <c r="D260" s="343"/>
      <c r="E260" s="349"/>
      <c r="F260" s="348"/>
      <c r="G260" s="356"/>
    </row>
    <row r="261" spans="1:7" x14ac:dyDescent="0.25">
      <c r="A261" s="160" t="s">
        <v>181</v>
      </c>
      <c r="B261" s="161" t="str">
        <f t="shared" si="9"/>
        <v>OBERMODERN-ZUTZENDORF</v>
      </c>
      <c r="C261" s="177" t="str">
        <f t="shared" si="10"/>
        <v>chape s41</v>
      </c>
      <c r="D261" s="137"/>
      <c r="E261" s="348"/>
      <c r="F261" s="348"/>
      <c r="G261" s="356"/>
    </row>
    <row r="262" spans="1:7" x14ac:dyDescent="0.25">
      <c r="A262" s="160" t="s">
        <v>164</v>
      </c>
      <c r="B262" s="161" t="str">
        <f t="shared" si="9"/>
        <v>WILDERSBACH</v>
      </c>
      <c r="C262" s="177" t="str">
        <f t="shared" si="10"/>
        <v>à receptionner</v>
      </c>
      <c r="D262" s="137"/>
      <c r="E262" s="348"/>
      <c r="F262" s="348"/>
      <c r="G262" s="356"/>
    </row>
    <row r="263" spans="1:7" x14ac:dyDescent="0.25">
      <c r="A263" s="160" t="s">
        <v>248</v>
      </c>
      <c r="B263" s="161" t="str">
        <f t="shared" si="9"/>
        <v>AVENHEIM</v>
      </c>
      <c r="C263" s="177" t="str">
        <f t="shared" si="10"/>
        <v>dalle basse RDC</v>
      </c>
      <c r="D263" s="343"/>
      <c r="E263" s="348"/>
      <c r="F263" s="348"/>
      <c r="G263" s="356"/>
    </row>
    <row r="264" spans="1:7" x14ac:dyDescent="0.25">
      <c r="A264" s="160"/>
      <c r="B264" s="177"/>
      <c r="C264" s="343"/>
      <c r="D264" s="148"/>
      <c r="E264" s="348"/>
      <c r="F264" s="348"/>
    </row>
    <row r="268" spans="1:7" x14ac:dyDescent="0.25">
      <c r="A268" s="407" t="s">
        <v>373</v>
      </c>
      <c r="B268" s="407"/>
      <c r="C268" s="407"/>
      <c r="D268" s="407"/>
      <c r="E268" s="407"/>
      <c r="F268" s="407"/>
      <c r="G268" s="407"/>
    </row>
    <row r="269" spans="1:7" ht="15.75" thickBot="1" x14ac:dyDescent="0.3">
      <c r="A269" s="407" t="s">
        <v>374</v>
      </c>
      <c r="B269" s="407"/>
      <c r="C269" s="407"/>
      <c r="D269" s="407"/>
      <c r="E269" s="407"/>
      <c r="F269" s="407"/>
      <c r="G269" s="407"/>
    </row>
    <row r="270" spans="1:7" ht="15" customHeight="1" x14ac:dyDescent="0.25">
      <c r="C270" s="401" t="s">
        <v>80</v>
      </c>
      <c r="D270" s="402"/>
    </row>
    <row r="271" spans="1:7" ht="6.75" customHeight="1" x14ac:dyDescent="0.25">
      <c r="C271" s="403"/>
      <c r="D271" s="404"/>
    </row>
    <row r="272" spans="1:7" ht="27" customHeight="1" thickBot="1" x14ac:dyDescent="0.3">
      <c r="C272" s="405"/>
      <c r="D272" s="406"/>
    </row>
    <row r="273" spans="1:8" ht="27" customHeight="1" thickBot="1" x14ac:dyDescent="0.3">
      <c r="C273" s="121" t="s">
        <v>1</v>
      </c>
      <c r="D273" s="113">
        <f ca="1">D94</f>
        <v>41</v>
      </c>
    </row>
    <row r="274" spans="1:8" ht="15" customHeight="1" x14ac:dyDescent="0.25">
      <c r="C274" s="121"/>
      <c r="H274" s="119"/>
    </row>
    <row r="275" spans="1:8" ht="10.5" customHeight="1" x14ac:dyDescent="0.25">
      <c r="C275" s="109"/>
      <c r="D275" s="109"/>
      <c r="E275" s="348"/>
      <c r="F275" s="348"/>
    </row>
    <row r="276" spans="1:8" ht="21.75" customHeight="1" x14ac:dyDescent="0.4">
      <c r="B276" s="114" t="s">
        <v>77</v>
      </c>
      <c r="C276" s="114" t="s">
        <v>53</v>
      </c>
      <c r="D276" s="342" t="s">
        <v>88</v>
      </c>
      <c r="E276" s="141"/>
      <c r="F276" s="348"/>
    </row>
    <row r="277" spans="1:8" ht="16.5" customHeight="1" x14ac:dyDescent="0.3">
      <c r="C277" s="110"/>
      <c r="D277" s="109"/>
      <c r="E277" s="348"/>
      <c r="F277" s="348"/>
    </row>
    <row r="278" spans="1:8" s="138" customFormat="1" ht="16.5" customHeight="1" x14ac:dyDescent="0.25">
      <c r="A278" s="369" t="s">
        <v>78</v>
      </c>
      <c r="B278" s="369" t="s">
        <v>294</v>
      </c>
      <c r="C278" s="141" t="s">
        <v>79</v>
      </c>
      <c r="D278" s="112" t="s">
        <v>375</v>
      </c>
      <c r="E278" s="348" t="s">
        <v>352</v>
      </c>
      <c r="F278" s="348" t="s">
        <v>369</v>
      </c>
      <c r="G278" s="141" t="s">
        <v>126</v>
      </c>
    </row>
    <row r="279" spans="1:8" ht="16.5" customHeight="1" x14ac:dyDescent="0.25">
      <c r="A279" s="111" t="s">
        <v>213</v>
      </c>
      <c r="B279" s="111" t="str">
        <f t="shared" ref="B279:B308" si="11">B10</f>
        <v>PFETTISHEIM</v>
      </c>
      <c r="C279" s="342" t="str">
        <f t="shared" ref="C279:C305" si="12">C234</f>
        <v>pignons</v>
      </c>
      <c r="D279" s="141" t="s">
        <v>221</v>
      </c>
      <c r="E279" s="348">
        <v>49</v>
      </c>
      <c r="F279" s="348"/>
      <c r="G279" s="354"/>
    </row>
    <row r="280" spans="1:8" x14ac:dyDescent="0.25">
      <c r="A280" s="116" t="s">
        <v>278</v>
      </c>
      <c r="B280" s="116" t="str">
        <f t="shared" si="11"/>
        <v>BLIENSCHWILLER</v>
      </c>
      <c r="C280" s="342" t="str">
        <f t="shared" si="12"/>
        <v>fondations</v>
      </c>
      <c r="D280" s="117"/>
      <c r="E280" s="348"/>
      <c r="F280" s="349"/>
      <c r="G280" s="355"/>
    </row>
    <row r="281" spans="1:8" x14ac:dyDescent="0.25">
      <c r="A281" s="116" t="s">
        <v>259</v>
      </c>
      <c r="B281" s="116" t="str">
        <f t="shared" si="11"/>
        <v>BERSTHEIM</v>
      </c>
      <c r="C281" s="342" t="str">
        <f t="shared" si="12"/>
        <v>dalle basse RDC</v>
      </c>
      <c r="D281" s="117"/>
      <c r="E281" s="348"/>
      <c r="F281" s="349"/>
      <c r="G281" s="355"/>
    </row>
    <row r="282" spans="1:8" x14ac:dyDescent="0.25">
      <c r="A282" s="116" t="s">
        <v>279</v>
      </c>
      <c r="B282" s="116" t="str">
        <f t="shared" si="11"/>
        <v>FRIEDOLSHEIM</v>
      </c>
      <c r="C282" s="342" t="str">
        <f t="shared" si="12"/>
        <v>dalle basse RDC</v>
      </c>
      <c r="D282" s="117"/>
      <c r="E282" s="348"/>
      <c r="F282" s="349"/>
      <c r="G282" s="355"/>
    </row>
    <row r="283" spans="1:8" x14ac:dyDescent="0.25">
      <c r="A283" s="116" t="s">
        <v>179</v>
      </c>
      <c r="B283" s="116" t="str">
        <f t="shared" si="11"/>
        <v>GERTSHEIM</v>
      </c>
      <c r="C283" s="342" t="str">
        <f t="shared" si="12"/>
        <v>à receptionner</v>
      </c>
      <c r="D283" s="117"/>
      <c r="E283" s="348"/>
      <c r="F283" s="349"/>
      <c r="G283" s="355"/>
    </row>
    <row r="284" spans="1:8" x14ac:dyDescent="0.25">
      <c r="A284" s="116" t="s">
        <v>197</v>
      </c>
      <c r="B284" s="116" t="str">
        <f t="shared" si="11"/>
        <v>STRASBOURG</v>
      </c>
      <c r="C284" s="342" t="str">
        <f t="shared" si="12"/>
        <v>chape s42</v>
      </c>
      <c r="D284" s="117"/>
      <c r="E284" s="348"/>
      <c r="F284" s="349"/>
      <c r="G284" s="355"/>
    </row>
    <row r="285" spans="1:8" x14ac:dyDescent="0.25">
      <c r="A285" s="116" t="s">
        <v>280</v>
      </c>
      <c r="B285" s="116" t="str">
        <f t="shared" si="11"/>
        <v>HENGWILLER</v>
      </c>
      <c r="C285" s="342" t="str">
        <f t="shared" si="12"/>
        <v>soubassement</v>
      </c>
      <c r="D285" s="117"/>
      <c r="E285" s="348"/>
      <c r="F285" s="349"/>
      <c r="G285" s="355"/>
    </row>
    <row r="286" spans="1:8" x14ac:dyDescent="0.25">
      <c r="A286" s="116" t="s">
        <v>198</v>
      </c>
      <c r="B286" s="116" t="str">
        <f t="shared" si="11"/>
        <v>HANGENBIENTEN</v>
      </c>
      <c r="C286" s="342" t="str">
        <f t="shared" si="12"/>
        <v>dalle basse RDC</v>
      </c>
      <c r="D286" s="117"/>
      <c r="E286" s="348"/>
      <c r="F286" s="349"/>
      <c r="G286" s="355"/>
    </row>
    <row r="287" spans="1:8" x14ac:dyDescent="0.25">
      <c r="A287" s="116" t="s">
        <v>281</v>
      </c>
      <c r="B287" s="116" t="str">
        <f t="shared" si="11"/>
        <v>OBERHOFFEN</v>
      </c>
      <c r="C287" s="342" t="str">
        <f t="shared" si="12"/>
        <v>dalle basse RDC</v>
      </c>
      <c r="D287" s="117"/>
      <c r="E287" s="348"/>
      <c r="F287" s="349"/>
      <c r="G287" s="355"/>
    </row>
    <row r="288" spans="1:8" x14ac:dyDescent="0.25">
      <c r="A288" s="153" t="s">
        <v>199</v>
      </c>
      <c r="B288" s="153" t="str">
        <f t="shared" si="11"/>
        <v>EBERSHEIM</v>
      </c>
      <c r="C288" s="163" t="str">
        <f t="shared" si="12"/>
        <v>couvert</v>
      </c>
      <c r="D288" s="164" t="s">
        <v>221</v>
      </c>
      <c r="E288" s="351">
        <v>48</v>
      </c>
      <c r="F288" s="352"/>
      <c r="G288" s="363"/>
    </row>
    <row r="289" spans="1:7" x14ac:dyDescent="0.25">
      <c r="A289" s="116" t="s">
        <v>256</v>
      </c>
      <c r="B289" s="116" t="str">
        <f t="shared" si="11"/>
        <v>DINSHEIM S/ BRUCHE</v>
      </c>
      <c r="C289" s="342" t="str">
        <f t="shared" si="12"/>
        <v>GO fini</v>
      </c>
      <c r="D289" s="117"/>
      <c r="E289" s="351"/>
      <c r="F289" s="349"/>
      <c r="G289" s="355"/>
    </row>
    <row r="290" spans="1:7" x14ac:dyDescent="0.25">
      <c r="A290" s="116" t="s">
        <v>357</v>
      </c>
      <c r="B290" s="116" t="str">
        <f t="shared" si="11"/>
        <v>MOLSHEIM</v>
      </c>
      <c r="C290" s="342" t="str">
        <f t="shared" si="12"/>
        <v>marchés en cours</v>
      </c>
      <c r="D290" s="117"/>
      <c r="E290" s="351"/>
      <c r="F290" s="349"/>
      <c r="G290" s="355"/>
    </row>
    <row r="291" spans="1:7" x14ac:dyDescent="0.25">
      <c r="A291" s="116" t="s">
        <v>200</v>
      </c>
      <c r="B291" s="116" t="str">
        <f t="shared" si="11"/>
        <v>KLEINFRANKENHEIM</v>
      </c>
      <c r="C291" s="342" t="str">
        <f t="shared" si="12"/>
        <v>second œuvre en cours charge client</v>
      </c>
      <c r="D291" s="343"/>
      <c r="E291" s="348"/>
      <c r="F291" s="348"/>
      <c r="G291" s="356"/>
    </row>
    <row r="292" spans="1:7" x14ac:dyDescent="0.25">
      <c r="A292" s="116" t="s">
        <v>161</v>
      </c>
      <c r="B292" s="116" t="str">
        <f t="shared" si="11"/>
        <v>HANGENBIENTEN</v>
      </c>
      <c r="C292" s="342" t="str">
        <f t="shared" si="12"/>
        <v>chape</v>
      </c>
      <c r="D292" s="137" t="s">
        <v>313</v>
      </c>
      <c r="E292" s="351">
        <v>44</v>
      </c>
      <c r="F292" s="349"/>
      <c r="G292" s="355"/>
    </row>
    <row r="293" spans="1:7" x14ac:dyDescent="0.25">
      <c r="A293" s="116" t="s">
        <v>185</v>
      </c>
      <c r="B293" s="116" t="str">
        <f t="shared" si="11"/>
        <v>PETERSBACH</v>
      </c>
      <c r="C293" s="342" t="str">
        <f t="shared" si="12"/>
        <v>couvert</v>
      </c>
      <c r="D293" s="137" t="s">
        <v>221</v>
      </c>
      <c r="E293" s="351">
        <v>47</v>
      </c>
      <c r="F293" s="349"/>
      <c r="G293" s="355"/>
    </row>
    <row r="294" spans="1:7" x14ac:dyDescent="0.25">
      <c r="A294" s="116" t="s">
        <v>162</v>
      </c>
      <c r="B294" s="116" t="str">
        <f t="shared" si="11"/>
        <v>ENTZHEIM</v>
      </c>
      <c r="C294" s="342" t="str">
        <f t="shared" si="12"/>
        <v>chape</v>
      </c>
      <c r="D294" s="137"/>
      <c r="E294" s="351"/>
      <c r="F294" s="349"/>
      <c r="G294" s="355"/>
    </row>
    <row r="295" spans="1:7" x14ac:dyDescent="0.25">
      <c r="A295" s="116" t="s">
        <v>152</v>
      </c>
      <c r="B295" s="116" t="str">
        <f t="shared" si="11"/>
        <v>KILSTETT</v>
      </c>
      <c r="C295" s="342" t="str">
        <f t="shared" si="12"/>
        <v>chantier en arrêt</v>
      </c>
      <c r="D295" s="137"/>
      <c r="E295" s="351"/>
      <c r="F295" s="349"/>
      <c r="G295" s="355" t="s">
        <v>312</v>
      </c>
    </row>
    <row r="296" spans="1:7" ht="15.75" customHeight="1" x14ac:dyDescent="0.25">
      <c r="A296" s="116" t="s">
        <v>218</v>
      </c>
      <c r="B296" s="116" t="str">
        <f t="shared" si="11"/>
        <v>ESCHBACH</v>
      </c>
      <c r="C296" s="342" t="str">
        <f t="shared" si="12"/>
        <v>couvert</v>
      </c>
      <c r="D296" s="137"/>
      <c r="E296" s="351"/>
      <c r="F296" s="349"/>
      <c r="G296" s="355"/>
    </row>
    <row r="297" spans="1:7" x14ac:dyDescent="0.25">
      <c r="A297" s="116" t="s">
        <v>163</v>
      </c>
      <c r="B297" s="116" t="str">
        <f t="shared" si="11"/>
        <v>BISCHWILLER</v>
      </c>
      <c r="C297" s="342" t="str">
        <f t="shared" si="12"/>
        <v>chape s42</v>
      </c>
      <c r="D297" s="137"/>
      <c r="E297" s="351"/>
      <c r="F297" s="349"/>
      <c r="G297" s="355"/>
    </row>
    <row r="298" spans="1:7" x14ac:dyDescent="0.25">
      <c r="A298" s="116" t="s">
        <v>153</v>
      </c>
      <c r="B298" s="116" t="str">
        <f t="shared" si="11"/>
        <v>PFETTISHEIM</v>
      </c>
      <c r="C298" s="342" t="str">
        <f t="shared" si="12"/>
        <v>à receptionner</v>
      </c>
      <c r="D298" s="137" t="s">
        <v>316</v>
      </c>
      <c r="E298" s="351"/>
      <c r="F298" s="349"/>
      <c r="G298" s="355" t="s">
        <v>317</v>
      </c>
    </row>
    <row r="299" spans="1:7" x14ac:dyDescent="0.25">
      <c r="A299" s="116" t="s">
        <v>201</v>
      </c>
      <c r="B299" s="116" t="str">
        <f t="shared" si="11"/>
        <v>KINDWILLER</v>
      </c>
      <c r="C299" s="342" t="str">
        <f t="shared" si="12"/>
        <v>clos couvert</v>
      </c>
      <c r="D299" s="137" t="s">
        <v>221</v>
      </c>
      <c r="E299" s="351">
        <v>46</v>
      </c>
      <c r="F299" s="349"/>
      <c r="G299" s="355"/>
    </row>
    <row r="300" spans="1:7" x14ac:dyDescent="0.25">
      <c r="A300" s="136" t="s">
        <v>180</v>
      </c>
      <c r="B300" s="136" t="str">
        <f t="shared" si="11"/>
        <v>KILSTETT</v>
      </c>
      <c r="C300" s="343" t="str">
        <f t="shared" si="12"/>
        <v>chape s42</v>
      </c>
      <c r="D300" s="117" t="s">
        <v>221</v>
      </c>
      <c r="E300" s="351">
        <v>42</v>
      </c>
      <c r="F300" s="349"/>
      <c r="G300" s="355" t="s">
        <v>318</v>
      </c>
    </row>
    <row r="301" spans="1:7" x14ac:dyDescent="0.25">
      <c r="A301" s="136" t="s">
        <v>214</v>
      </c>
      <c r="B301" s="136" t="str">
        <f t="shared" si="11"/>
        <v>BUST</v>
      </c>
      <c r="C301" s="137" t="str">
        <f t="shared" si="12"/>
        <v>couvert</v>
      </c>
      <c r="D301" s="137"/>
      <c r="E301" s="351"/>
      <c r="F301" s="349"/>
      <c r="G301" s="355"/>
    </row>
    <row r="302" spans="1:7" x14ac:dyDescent="0.25">
      <c r="A302" s="160" t="s">
        <v>202</v>
      </c>
      <c r="B302" s="160" t="str">
        <f t="shared" si="11"/>
        <v>LUTZELHOUSE</v>
      </c>
      <c r="C302" s="343" t="str">
        <f t="shared" si="12"/>
        <v>charpente</v>
      </c>
      <c r="D302" s="343"/>
      <c r="E302" s="351"/>
      <c r="F302" s="348"/>
      <c r="G302" s="356"/>
    </row>
    <row r="303" spans="1:7" x14ac:dyDescent="0.25">
      <c r="A303" s="160" t="s">
        <v>282</v>
      </c>
      <c r="B303" s="160" t="str">
        <f t="shared" si="11"/>
        <v>BREUSCHWICKERSHEIM</v>
      </c>
      <c r="C303" s="343" t="str">
        <f t="shared" si="12"/>
        <v>fondations</v>
      </c>
      <c r="D303" s="343"/>
      <c r="E303" s="348"/>
      <c r="F303" s="348"/>
      <c r="G303" s="356"/>
    </row>
    <row r="304" spans="1:7" x14ac:dyDescent="0.25">
      <c r="A304" s="160" t="s">
        <v>363</v>
      </c>
      <c r="B304" s="160" t="str">
        <f t="shared" si="11"/>
        <v>GAMBSHEIM</v>
      </c>
      <c r="C304" s="343" t="str">
        <f t="shared" si="12"/>
        <v>marchés en cours</v>
      </c>
      <c r="D304" s="343"/>
      <c r="E304" s="351"/>
      <c r="F304" s="348"/>
      <c r="G304" s="356"/>
    </row>
    <row r="305" spans="1:8" x14ac:dyDescent="0.25">
      <c r="A305" s="160" t="s">
        <v>364</v>
      </c>
      <c r="B305" s="160" t="str">
        <f t="shared" si="11"/>
        <v>OBERLAUTERBACH</v>
      </c>
      <c r="C305" s="343" t="str">
        <f t="shared" si="12"/>
        <v>marchés S43</v>
      </c>
      <c r="D305" s="343"/>
      <c r="E305" s="351"/>
      <c r="F305" s="348"/>
      <c r="G305" s="356"/>
    </row>
    <row r="306" spans="1:8" x14ac:dyDescent="0.25">
      <c r="A306" s="160" t="s">
        <v>181</v>
      </c>
      <c r="B306" s="161" t="str">
        <f t="shared" si="11"/>
        <v>OBERMODERN-ZUTZENDORF</v>
      </c>
      <c r="C306" s="343" t="str">
        <f>C261</f>
        <v>chape s41</v>
      </c>
      <c r="D306" s="343" t="s">
        <v>221</v>
      </c>
      <c r="E306" s="351">
        <v>41</v>
      </c>
      <c r="F306" s="348"/>
      <c r="G306" s="356"/>
    </row>
    <row r="307" spans="1:8" x14ac:dyDescent="0.25">
      <c r="A307" s="160" t="s">
        <v>164</v>
      </c>
      <c r="B307" s="161" t="str">
        <f t="shared" si="11"/>
        <v>WILDERSBACH</v>
      </c>
      <c r="C307" s="343" t="str">
        <f>C262</f>
        <v>à receptionner</v>
      </c>
      <c r="D307" s="343"/>
      <c r="E307" s="348"/>
      <c r="F307" s="348"/>
      <c r="G307" s="356"/>
    </row>
    <row r="308" spans="1:8" x14ac:dyDescent="0.25">
      <c r="A308" s="160" t="s">
        <v>248</v>
      </c>
      <c r="B308" s="161" t="str">
        <f t="shared" si="11"/>
        <v>AVENHEIM</v>
      </c>
      <c r="C308" s="343" t="str">
        <f>C263</f>
        <v>dalle basse RDC</v>
      </c>
      <c r="D308" s="343"/>
      <c r="E308" s="348"/>
      <c r="F308" s="348"/>
      <c r="G308" s="356"/>
    </row>
    <row r="309" spans="1:8" x14ac:dyDescent="0.25">
      <c r="A309" s="160"/>
      <c r="B309" s="343"/>
      <c r="C309" s="343"/>
      <c r="D309" s="148"/>
      <c r="E309" s="348"/>
      <c r="F309" s="348"/>
    </row>
    <row r="313" spans="1:8" x14ac:dyDescent="0.25">
      <c r="A313" s="407" t="s">
        <v>373</v>
      </c>
      <c r="B313" s="407"/>
      <c r="C313" s="407"/>
      <c r="D313" s="407"/>
      <c r="E313" s="407"/>
      <c r="F313" s="407"/>
      <c r="G313" s="407"/>
    </row>
    <row r="314" spans="1:8" ht="15.75" thickBot="1" x14ac:dyDescent="0.3">
      <c r="A314" s="407" t="s">
        <v>374</v>
      </c>
      <c r="B314" s="407"/>
      <c r="C314" s="407"/>
      <c r="D314" s="407"/>
      <c r="E314" s="407"/>
      <c r="F314" s="407"/>
      <c r="G314" s="407"/>
    </row>
    <row r="315" spans="1:8" ht="15" customHeight="1" x14ac:dyDescent="0.25">
      <c r="C315" s="401" t="s">
        <v>80</v>
      </c>
      <c r="D315" s="402"/>
    </row>
    <row r="316" spans="1:8" ht="6.75" customHeight="1" x14ac:dyDescent="0.25">
      <c r="C316" s="403"/>
      <c r="D316" s="404"/>
    </row>
    <row r="317" spans="1:8" ht="27" customHeight="1" thickBot="1" x14ac:dyDescent="0.3">
      <c r="C317" s="405"/>
      <c r="D317" s="406"/>
    </row>
    <row r="318" spans="1:8" ht="27" customHeight="1" thickBot="1" x14ac:dyDescent="0.3">
      <c r="C318" s="121" t="s">
        <v>1</v>
      </c>
      <c r="D318" s="113">
        <f ca="1">D139</f>
        <v>41</v>
      </c>
    </row>
    <row r="319" spans="1:8" ht="15" customHeight="1" x14ac:dyDescent="0.25">
      <c r="C319" s="121"/>
      <c r="H319" s="119"/>
    </row>
    <row r="320" spans="1:8" ht="10.5" customHeight="1" x14ac:dyDescent="0.25">
      <c r="C320" s="109"/>
      <c r="D320" s="109"/>
      <c r="E320" s="348"/>
      <c r="F320" s="348"/>
    </row>
    <row r="321" spans="1:7" ht="21.75" customHeight="1" x14ac:dyDescent="0.4">
      <c r="B321" s="114" t="s">
        <v>77</v>
      </c>
      <c r="C321" s="114" t="s">
        <v>46</v>
      </c>
      <c r="D321" s="342" t="s">
        <v>105</v>
      </c>
      <c r="E321" s="141"/>
      <c r="F321" s="348"/>
    </row>
    <row r="322" spans="1:7" ht="16.5" customHeight="1" x14ac:dyDescent="0.3">
      <c r="C322" s="110"/>
      <c r="D322" s="109"/>
      <c r="E322" s="348"/>
      <c r="F322" s="348"/>
    </row>
    <row r="323" spans="1:7" s="138" customFormat="1" ht="16.5" customHeight="1" x14ac:dyDescent="0.25">
      <c r="A323" s="369" t="s">
        <v>78</v>
      </c>
      <c r="B323" s="369" t="s">
        <v>294</v>
      </c>
      <c r="C323" s="141" t="s">
        <v>79</v>
      </c>
      <c r="D323" s="112" t="s">
        <v>375</v>
      </c>
      <c r="E323" s="348" t="s">
        <v>352</v>
      </c>
      <c r="F323" s="348" t="s">
        <v>369</v>
      </c>
      <c r="G323" s="141" t="s">
        <v>126</v>
      </c>
    </row>
    <row r="324" spans="1:7" ht="16.5" customHeight="1" x14ac:dyDescent="0.25">
      <c r="A324" s="111" t="s">
        <v>213</v>
      </c>
      <c r="B324" s="111" t="str">
        <f t="shared" ref="B324:B353" si="13">B10</f>
        <v>PFETTISHEIM</v>
      </c>
      <c r="C324" s="342" t="str">
        <f t="shared" ref="C324:C350" si="14">C279</f>
        <v>pignons</v>
      </c>
      <c r="D324" s="115"/>
      <c r="E324" s="348"/>
      <c r="F324" s="348"/>
      <c r="G324" s="354"/>
    </row>
    <row r="325" spans="1:7" x14ac:dyDescent="0.25">
      <c r="A325" s="116" t="s">
        <v>278</v>
      </c>
      <c r="B325" s="116" t="str">
        <f t="shared" si="13"/>
        <v>BLIENSCHWILLER</v>
      </c>
      <c r="C325" s="342" t="str">
        <f t="shared" si="14"/>
        <v>fondations</v>
      </c>
      <c r="D325" s="117"/>
      <c r="E325" s="349"/>
      <c r="F325" s="349"/>
      <c r="G325" s="355"/>
    </row>
    <row r="326" spans="1:7" x14ac:dyDescent="0.25">
      <c r="A326" s="116" t="s">
        <v>259</v>
      </c>
      <c r="B326" s="116" t="str">
        <f t="shared" si="13"/>
        <v>BERSTHEIM</v>
      </c>
      <c r="C326" s="342" t="str">
        <f t="shared" si="14"/>
        <v>dalle basse RDC</v>
      </c>
      <c r="D326" s="117"/>
      <c r="E326" s="349"/>
      <c r="F326" s="349"/>
      <c r="G326" s="355"/>
    </row>
    <row r="327" spans="1:7" x14ac:dyDescent="0.25">
      <c r="A327" s="116" t="s">
        <v>279</v>
      </c>
      <c r="B327" s="116" t="str">
        <f t="shared" si="13"/>
        <v>FRIEDOLSHEIM</v>
      </c>
      <c r="C327" s="342" t="str">
        <f t="shared" si="14"/>
        <v>dalle basse RDC</v>
      </c>
      <c r="D327" s="117"/>
      <c r="E327" s="349"/>
      <c r="F327" s="349"/>
      <c r="G327" s="355"/>
    </row>
    <row r="328" spans="1:7" x14ac:dyDescent="0.25">
      <c r="A328" s="116" t="s">
        <v>179</v>
      </c>
      <c r="B328" s="116" t="str">
        <f t="shared" si="13"/>
        <v>GERTSHEIM</v>
      </c>
      <c r="C328" s="342" t="str">
        <f t="shared" si="14"/>
        <v>à receptionner</v>
      </c>
      <c r="D328" s="117"/>
      <c r="E328" s="349"/>
      <c r="F328" s="349"/>
      <c r="G328" s="355"/>
    </row>
    <row r="329" spans="1:7" x14ac:dyDescent="0.25">
      <c r="A329" s="116" t="s">
        <v>197</v>
      </c>
      <c r="B329" s="116" t="str">
        <f t="shared" si="13"/>
        <v>STRASBOURG</v>
      </c>
      <c r="C329" s="342" t="str">
        <f t="shared" si="14"/>
        <v>chape s42</v>
      </c>
      <c r="D329" s="117"/>
      <c r="E329" s="349"/>
      <c r="F329" s="349"/>
      <c r="G329" s="355"/>
    </row>
    <row r="330" spans="1:7" x14ac:dyDescent="0.25">
      <c r="A330" s="116" t="s">
        <v>280</v>
      </c>
      <c r="B330" s="116" t="str">
        <f t="shared" si="13"/>
        <v>HENGWILLER</v>
      </c>
      <c r="C330" s="342" t="str">
        <f t="shared" si="14"/>
        <v>soubassement</v>
      </c>
      <c r="D330" s="117"/>
      <c r="E330" s="349"/>
      <c r="F330" s="349"/>
      <c r="G330" s="355"/>
    </row>
    <row r="331" spans="1:7" x14ac:dyDescent="0.25">
      <c r="A331" s="116" t="s">
        <v>198</v>
      </c>
      <c r="B331" s="116" t="str">
        <f t="shared" si="13"/>
        <v>HANGENBIENTEN</v>
      </c>
      <c r="C331" s="342" t="str">
        <f t="shared" si="14"/>
        <v>dalle basse RDC</v>
      </c>
      <c r="D331" s="117"/>
      <c r="E331" s="349"/>
      <c r="F331" s="349"/>
      <c r="G331" s="355"/>
    </row>
    <row r="332" spans="1:7" x14ac:dyDescent="0.25">
      <c r="A332" s="116" t="s">
        <v>281</v>
      </c>
      <c r="B332" s="116" t="str">
        <f t="shared" si="13"/>
        <v>OBERHOFFEN</v>
      </c>
      <c r="C332" s="342" t="str">
        <f t="shared" si="14"/>
        <v>dalle basse RDC</v>
      </c>
      <c r="D332" s="117"/>
      <c r="E332" s="349"/>
      <c r="F332" s="349"/>
      <c r="G332" s="355"/>
    </row>
    <row r="333" spans="1:7" x14ac:dyDescent="0.25">
      <c r="A333" s="116" t="s">
        <v>199</v>
      </c>
      <c r="B333" s="116" t="str">
        <f t="shared" si="13"/>
        <v>EBERSHEIM</v>
      </c>
      <c r="C333" s="342" t="str">
        <f t="shared" si="14"/>
        <v>couvert</v>
      </c>
      <c r="D333" s="117"/>
      <c r="E333" s="349"/>
      <c r="F333" s="349"/>
      <c r="G333" s="355"/>
    </row>
    <row r="334" spans="1:7" x14ac:dyDescent="0.25">
      <c r="A334" s="116" t="s">
        <v>256</v>
      </c>
      <c r="B334" s="116" t="str">
        <f t="shared" si="13"/>
        <v>DINSHEIM S/ BRUCHE</v>
      </c>
      <c r="C334" s="342" t="str">
        <f t="shared" si="14"/>
        <v>GO fini</v>
      </c>
      <c r="D334" s="117"/>
      <c r="E334" s="349"/>
      <c r="F334" s="349"/>
      <c r="G334" s="355"/>
    </row>
    <row r="335" spans="1:7" x14ac:dyDescent="0.25">
      <c r="A335" s="116" t="s">
        <v>357</v>
      </c>
      <c r="B335" s="116" t="str">
        <f t="shared" si="13"/>
        <v>MOLSHEIM</v>
      </c>
      <c r="C335" s="342" t="str">
        <f t="shared" si="14"/>
        <v>marchés en cours</v>
      </c>
      <c r="D335" s="117"/>
      <c r="E335" s="349"/>
      <c r="F335" s="349"/>
      <c r="G335" s="355"/>
    </row>
    <row r="336" spans="1:7" x14ac:dyDescent="0.25">
      <c r="A336" s="116" t="s">
        <v>200</v>
      </c>
      <c r="B336" s="116" t="str">
        <f t="shared" si="13"/>
        <v>KLEINFRANKENHEIM</v>
      </c>
      <c r="C336" s="342" t="str">
        <f t="shared" si="14"/>
        <v>second œuvre en cours charge client</v>
      </c>
      <c r="D336" s="117"/>
      <c r="E336" s="349"/>
      <c r="F336" s="349"/>
      <c r="G336" s="355"/>
    </row>
    <row r="337" spans="1:7" x14ac:dyDescent="0.25">
      <c r="A337" s="116" t="s">
        <v>161</v>
      </c>
      <c r="B337" s="116" t="str">
        <f t="shared" si="13"/>
        <v>HANGENBIENTEN</v>
      </c>
      <c r="C337" s="342" t="str">
        <f t="shared" si="14"/>
        <v>chape</v>
      </c>
      <c r="D337" s="117"/>
      <c r="E337" s="349"/>
      <c r="F337" s="349"/>
      <c r="G337" s="355"/>
    </row>
    <row r="338" spans="1:7" x14ac:dyDescent="0.25">
      <c r="A338" s="116" t="s">
        <v>185</v>
      </c>
      <c r="B338" s="116" t="str">
        <f t="shared" si="13"/>
        <v>PETERSBACH</v>
      </c>
      <c r="C338" s="342" t="str">
        <f t="shared" si="14"/>
        <v>couvert</v>
      </c>
      <c r="D338" s="117"/>
      <c r="E338" s="349"/>
      <c r="F338" s="349"/>
      <c r="G338" s="355"/>
    </row>
    <row r="339" spans="1:7" x14ac:dyDescent="0.25">
      <c r="A339" s="116" t="s">
        <v>162</v>
      </c>
      <c r="B339" s="116" t="str">
        <f t="shared" si="13"/>
        <v>ENTZHEIM</v>
      </c>
      <c r="C339" s="342" t="str">
        <f t="shared" si="14"/>
        <v>chape</v>
      </c>
      <c r="D339" s="117"/>
      <c r="E339" s="349"/>
      <c r="F339" s="349"/>
      <c r="G339" s="355"/>
    </row>
    <row r="340" spans="1:7" x14ac:dyDescent="0.25">
      <c r="A340" s="116" t="s">
        <v>152</v>
      </c>
      <c r="B340" s="116" t="str">
        <f t="shared" si="13"/>
        <v>KILSTETT</v>
      </c>
      <c r="C340" s="342" t="str">
        <f t="shared" si="14"/>
        <v>chantier en arrêt</v>
      </c>
      <c r="D340" s="343"/>
      <c r="E340" s="348"/>
      <c r="F340" s="348"/>
      <c r="G340" s="356"/>
    </row>
    <row r="341" spans="1:7" x14ac:dyDescent="0.25">
      <c r="A341" s="116" t="s">
        <v>218</v>
      </c>
      <c r="B341" s="116" t="str">
        <f t="shared" si="13"/>
        <v>ESCHBACH</v>
      </c>
      <c r="C341" s="342" t="str">
        <f t="shared" si="14"/>
        <v>couvert</v>
      </c>
      <c r="D341" s="117" t="s">
        <v>319</v>
      </c>
      <c r="E341" s="349">
        <v>43</v>
      </c>
      <c r="F341" s="349"/>
      <c r="G341" s="355" t="s">
        <v>320</v>
      </c>
    </row>
    <row r="342" spans="1:7" x14ac:dyDescent="0.25">
      <c r="A342" s="116" t="s">
        <v>163</v>
      </c>
      <c r="B342" s="116" t="str">
        <f t="shared" si="13"/>
        <v>BISCHWILLER</v>
      </c>
      <c r="C342" s="342" t="str">
        <f t="shared" si="14"/>
        <v>chape s42</v>
      </c>
      <c r="D342" s="117"/>
      <c r="E342" s="349"/>
      <c r="F342" s="349"/>
      <c r="G342" s="355"/>
    </row>
    <row r="343" spans="1:7" x14ac:dyDescent="0.25">
      <c r="A343" s="116" t="s">
        <v>153</v>
      </c>
      <c r="B343" s="116" t="str">
        <f t="shared" si="13"/>
        <v>PFETTISHEIM</v>
      </c>
      <c r="C343" s="342" t="str">
        <f t="shared" si="14"/>
        <v>à receptionner</v>
      </c>
      <c r="D343" s="117"/>
      <c r="E343" s="349"/>
      <c r="F343" s="349"/>
      <c r="G343" s="355"/>
    </row>
    <row r="344" spans="1:7" x14ac:dyDescent="0.25">
      <c r="A344" s="116" t="s">
        <v>201</v>
      </c>
      <c r="B344" s="116" t="str">
        <f t="shared" si="13"/>
        <v>KINDWILLER</v>
      </c>
      <c r="C344" s="342" t="str">
        <f t="shared" si="14"/>
        <v>clos couvert</v>
      </c>
      <c r="D344" s="117"/>
      <c r="E344" s="349"/>
      <c r="F344" s="349"/>
      <c r="G344" s="355"/>
    </row>
    <row r="345" spans="1:7" x14ac:dyDescent="0.25">
      <c r="A345" s="136" t="s">
        <v>180</v>
      </c>
      <c r="B345" s="136" t="str">
        <f t="shared" si="13"/>
        <v>KILSTETT</v>
      </c>
      <c r="C345" s="343" t="str">
        <f t="shared" si="14"/>
        <v>chape s42</v>
      </c>
      <c r="D345" s="137"/>
      <c r="E345" s="349"/>
      <c r="F345" s="349"/>
      <c r="G345" s="355"/>
    </row>
    <row r="346" spans="1:7" x14ac:dyDescent="0.25">
      <c r="A346" s="136" t="s">
        <v>214</v>
      </c>
      <c r="B346" s="136" t="str">
        <f t="shared" si="13"/>
        <v>BUST</v>
      </c>
      <c r="C346" s="137" t="str">
        <f t="shared" si="14"/>
        <v>couvert</v>
      </c>
      <c r="D346" s="137"/>
      <c r="E346" s="349"/>
      <c r="F346" s="349"/>
      <c r="G346" s="355"/>
    </row>
    <row r="347" spans="1:7" x14ac:dyDescent="0.25">
      <c r="A347" s="160" t="s">
        <v>202</v>
      </c>
      <c r="B347" s="160" t="str">
        <f t="shared" si="13"/>
        <v>LUTZELHOUSE</v>
      </c>
      <c r="C347" s="343" t="str">
        <f t="shared" si="14"/>
        <v>charpente</v>
      </c>
      <c r="D347" s="343"/>
      <c r="E347" s="348"/>
      <c r="F347" s="348"/>
      <c r="G347" s="356"/>
    </row>
    <row r="348" spans="1:7" x14ac:dyDescent="0.25">
      <c r="A348" s="160" t="s">
        <v>282</v>
      </c>
      <c r="B348" s="160" t="str">
        <f t="shared" si="13"/>
        <v>BREUSCHWICKERSHEIM</v>
      </c>
      <c r="C348" s="343" t="str">
        <f t="shared" si="14"/>
        <v>fondations</v>
      </c>
      <c r="D348" s="343"/>
      <c r="E348" s="348"/>
      <c r="F348" s="348"/>
      <c r="G348" s="356"/>
    </row>
    <row r="349" spans="1:7" x14ac:dyDescent="0.25">
      <c r="A349" s="160" t="s">
        <v>363</v>
      </c>
      <c r="B349" s="160" t="str">
        <f t="shared" si="13"/>
        <v>GAMBSHEIM</v>
      </c>
      <c r="C349" s="343" t="str">
        <f t="shared" si="14"/>
        <v>marchés en cours</v>
      </c>
      <c r="D349" s="343"/>
      <c r="E349" s="348"/>
      <c r="F349" s="348"/>
      <c r="G349" s="356"/>
    </row>
    <row r="350" spans="1:7" x14ac:dyDescent="0.25">
      <c r="A350" s="160" t="s">
        <v>364</v>
      </c>
      <c r="B350" s="160" t="str">
        <f t="shared" si="13"/>
        <v>OBERLAUTERBACH</v>
      </c>
      <c r="C350" s="343" t="str">
        <f t="shared" si="14"/>
        <v>marchés S43</v>
      </c>
      <c r="D350" s="343"/>
      <c r="E350" s="348"/>
      <c r="F350" s="348"/>
      <c r="G350" s="356"/>
    </row>
    <row r="351" spans="1:7" x14ac:dyDescent="0.25">
      <c r="A351" s="160" t="s">
        <v>181</v>
      </c>
      <c r="B351" s="161" t="str">
        <f t="shared" si="13"/>
        <v>OBERMODERN-ZUTZENDORF</v>
      </c>
      <c r="C351" s="343" t="str">
        <f>C306</f>
        <v>chape s41</v>
      </c>
      <c r="D351" s="343"/>
      <c r="E351" s="348"/>
      <c r="F351" s="348"/>
      <c r="G351" s="356"/>
    </row>
    <row r="352" spans="1:7" x14ac:dyDescent="0.25">
      <c r="A352" s="160" t="s">
        <v>164</v>
      </c>
      <c r="B352" s="161" t="str">
        <f t="shared" si="13"/>
        <v>WILDERSBACH</v>
      </c>
      <c r="C352" s="343" t="str">
        <f>C307</f>
        <v>à receptionner</v>
      </c>
      <c r="D352" s="343"/>
      <c r="E352" s="348"/>
      <c r="F352" s="348"/>
      <c r="G352" s="356"/>
    </row>
    <row r="353" spans="1:8" x14ac:dyDescent="0.25">
      <c r="A353" s="160" t="s">
        <v>248</v>
      </c>
      <c r="B353" s="161" t="str">
        <f t="shared" si="13"/>
        <v>AVENHEIM</v>
      </c>
      <c r="C353" s="343" t="str">
        <f>C308</f>
        <v>dalle basse RDC</v>
      </c>
      <c r="D353" s="343"/>
      <c r="E353" s="348"/>
      <c r="F353" s="348"/>
      <c r="G353" s="356"/>
    </row>
    <row r="354" spans="1:8" x14ac:dyDescent="0.25">
      <c r="A354" s="160"/>
      <c r="B354" s="343"/>
      <c r="C354" s="343"/>
      <c r="D354" s="148"/>
      <c r="E354" s="348"/>
      <c r="F354" s="348"/>
    </row>
    <row r="358" spans="1:8" x14ac:dyDescent="0.25">
      <c r="A358" s="407" t="s">
        <v>373</v>
      </c>
      <c r="B358" s="407"/>
      <c r="C358" s="407"/>
      <c r="D358" s="407"/>
      <c r="E358" s="407"/>
      <c r="F358" s="407"/>
      <c r="G358" s="407"/>
    </row>
    <row r="359" spans="1:8" ht="15.75" thickBot="1" x14ac:dyDescent="0.3">
      <c r="A359" s="407" t="s">
        <v>374</v>
      </c>
      <c r="B359" s="407"/>
      <c r="C359" s="407"/>
      <c r="D359" s="407"/>
      <c r="E359" s="407"/>
      <c r="F359" s="407"/>
      <c r="G359" s="407"/>
    </row>
    <row r="360" spans="1:8" ht="15" customHeight="1" x14ac:dyDescent="0.25">
      <c r="C360" s="401" t="s">
        <v>80</v>
      </c>
      <c r="D360" s="402"/>
    </row>
    <row r="361" spans="1:8" ht="6.75" customHeight="1" x14ac:dyDescent="0.25">
      <c r="C361" s="403"/>
      <c r="D361" s="404"/>
    </row>
    <row r="362" spans="1:8" ht="27" customHeight="1" thickBot="1" x14ac:dyDescent="0.3">
      <c r="C362" s="405"/>
      <c r="D362" s="406"/>
    </row>
    <row r="363" spans="1:8" ht="27" customHeight="1" thickBot="1" x14ac:dyDescent="0.3">
      <c r="C363" s="121" t="s">
        <v>1</v>
      </c>
      <c r="D363" s="113">
        <f ca="1">D183</f>
        <v>41</v>
      </c>
    </row>
    <row r="364" spans="1:8" ht="15" customHeight="1" x14ac:dyDescent="0.25">
      <c r="C364" s="121"/>
      <c r="H364" s="119"/>
    </row>
    <row r="365" spans="1:8" ht="10.5" customHeight="1" x14ac:dyDescent="0.25">
      <c r="C365" s="109"/>
      <c r="D365" s="109"/>
      <c r="E365" s="348"/>
      <c r="F365" s="348"/>
    </row>
    <row r="366" spans="1:8" ht="21.75" customHeight="1" x14ac:dyDescent="0.4">
      <c r="B366" s="114" t="s">
        <v>77</v>
      </c>
      <c r="C366" s="114" t="s">
        <v>51</v>
      </c>
      <c r="D366" s="342" t="s">
        <v>92</v>
      </c>
      <c r="E366" s="141"/>
      <c r="F366" s="348"/>
    </row>
    <row r="367" spans="1:8" ht="16.5" customHeight="1" x14ac:dyDescent="0.3">
      <c r="C367" s="110"/>
      <c r="D367" s="109"/>
      <c r="E367" s="348"/>
      <c r="F367" s="348"/>
    </row>
    <row r="368" spans="1:8" s="138" customFormat="1" ht="16.5" customHeight="1" x14ac:dyDescent="0.25">
      <c r="A368" s="369" t="s">
        <v>78</v>
      </c>
      <c r="B368" s="369" t="s">
        <v>294</v>
      </c>
      <c r="C368" s="141" t="s">
        <v>79</v>
      </c>
      <c r="D368" s="112" t="s">
        <v>375</v>
      </c>
      <c r="E368" s="348" t="s">
        <v>352</v>
      </c>
      <c r="F368" s="348" t="s">
        <v>369</v>
      </c>
      <c r="G368" s="141" t="s">
        <v>126</v>
      </c>
    </row>
    <row r="369" spans="1:7" ht="16.5" customHeight="1" x14ac:dyDescent="0.25">
      <c r="A369" s="111" t="s">
        <v>213</v>
      </c>
      <c r="B369" s="111" t="str">
        <f t="shared" ref="B369:B398" si="15">B10</f>
        <v>PFETTISHEIM</v>
      </c>
      <c r="C369" s="342" t="str">
        <f t="shared" ref="C369:C395" si="16">C324</f>
        <v>pignons</v>
      </c>
      <c r="D369" s="140" t="s">
        <v>222</v>
      </c>
      <c r="E369" s="348">
        <v>47</v>
      </c>
      <c r="F369" s="348"/>
      <c r="G369" s="354"/>
    </row>
    <row r="370" spans="1:7" x14ac:dyDescent="0.25">
      <c r="A370" s="116" t="s">
        <v>278</v>
      </c>
      <c r="B370" s="116" t="str">
        <f t="shared" si="15"/>
        <v>BLIENSCHWILLER</v>
      </c>
      <c r="C370" s="342" t="str">
        <f t="shared" si="16"/>
        <v>fondations</v>
      </c>
      <c r="D370" s="117"/>
      <c r="E370" s="348"/>
      <c r="F370" s="349"/>
      <c r="G370" s="355"/>
    </row>
    <row r="371" spans="1:7" x14ac:dyDescent="0.25">
      <c r="A371" s="116" t="s">
        <v>259</v>
      </c>
      <c r="B371" s="116" t="str">
        <f t="shared" si="15"/>
        <v>BERSTHEIM</v>
      </c>
      <c r="C371" s="342" t="str">
        <f t="shared" si="16"/>
        <v>dalle basse RDC</v>
      </c>
      <c r="D371" s="117"/>
      <c r="E371" s="348"/>
      <c r="F371" s="349"/>
      <c r="G371" s="355"/>
    </row>
    <row r="372" spans="1:7" x14ac:dyDescent="0.25">
      <c r="A372" s="116" t="s">
        <v>279</v>
      </c>
      <c r="B372" s="116" t="str">
        <f t="shared" si="15"/>
        <v>FRIEDOLSHEIM</v>
      </c>
      <c r="C372" s="342" t="str">
        <f t="shared" si="16"/>
        <v>dalle basse RDC</v>
      </c>
      <c r="D372" s="117"/>
      <c r="E372" s="348"/>
      <c r="F372" s="349"/>
      <c r="G372" s="355"/>
    </row>
    <row r="373" spans="1:7" x14ac:dyDescent="0.25">
      <c r="A373" s="116" t="s">
        <v>179</v>
      </c>
      <c r="B373" s="116" t="str">
        <f t="shared" si="15"/>
        <v>GERTSHEIM</v>
      </c>
      <c r="C373" s="342" t="str">
        <f t="shared" si="16"/>
        <v>à receptionner</v>
      </c>
      <c r="D373" s="117"/>
      <c r="E373" s="348">
        <v>38</v>
      </c>
      <c r="F373" s="349"/>
      <c r="G373" s="355"/>
    </row>
    <row r="374" spans="1:7" x14ac:dyDescent="0.25">
      <c r="A374" s="116" t="s">
        <v>197</v>
      </c>
      <c r="B374" s="116" t="str">
        <f t="shared" si="15"/>
        <v>STRASBOURG</v>
      </c>
      <c r="C374" s="342" t="str">
        <f t="shared" si="16"/>
        <v>chape s42</v>
      </c>
      <c r="D374" s="117" t="s">
        <v>103</v>
      </c>
      <c r="E374" s="348">
        <v>44</v>
      </c>
      <c r="F374" s="349"/>
      <c r="G374" s="355"/>
    </row>
    <row r="375" spans="1:7" x14ac:dyDescent="0.25">
      <c r="A375" s="116" t="s">
        <v>280</v>
      </c>
      <c r="B375" s="116" t="str">
        <f t="shared" si="15"/>
        <v>HENGWILLER</v>
      </c>
      <c r="C375" s="342" t="str">
        <f t="shared" si="16"/>
        <v>soubassement</v>
      </c>
      <c r="D375" s="117"/>
      <c r="E375" s="348"/>
      <c r="F375" s="349"/>
      <c r="G375" s="355"/>
    </row>
    <row r="376" spans="1:7" x14ac:dyDescent="0.25">
      <c r="A376" s="116" t="s">
        <v>198</v>
      </c>
      <c r="B376" s="116" t="str">
        <f t="shared" si="15"/>
        <v>HANGENBIENTEN</v>
      </c>
      <c r="C376" s="342" t="str">
        <f t="shared" si="16"/>
        <v>dalle basse RDC</v>
      </c>
      <c r="D376" s="117"/>
      <c r="E376" s="348"/>
      <c r="F376" s="349"/>
      <c r="G376" s="355"/>
    </row>
    <row r="377" spans="1:7" x14ac:dyDescent="0.25">
      <c r="A377" s="116" t="s">
        <v>281</v>
      </c>
      <c r="B377" s="116" t="str">
        <f t="shared" si="15"/>
        <v>OBERHOFFEN</v>
      </c>
      <c r="C377" s="342" t="str">
        <f t="shared" si="16"/>
        <v>dalle basse RDC</v>
      </c>
      <c r="D377" s="117"/>
      <c r="E377" s="348"/>
      <c r="F377" s="349"/>
      <c r="G377" s="355"/>
    </row>
    <row r="378" spans="1:7" x14ac:dyDescent="0.25">
      <c r="A378" s="153" t="s">
        <v>199</v>
      </c>
      <c r="B378" s="153" t="str">
        <f t="shared" si="15"/>
        <v>EBERSHEIM</v>
      </c>
      <c r="C378" s="163" t="str">
        <f t="shared" si="16"/>
        <v>couvert</v>
      </c>
      <c r="D378" s="164" t="s">
        <v>222</v>
      </c>
      <c r="E378" s="348">
        <v>46</v>
      </c>
      <c r="F378" s="352"/>
      <c r="G378" s="363"/>
    </row>
    <row r="379" spans="1:7" x14ac:dyDescent="0.25">
      <c r="A379" s="116" t="s">
        <v>256</v>
      </c>
      <c r="B379" s="116" t="str">
        <f t="shared" si="15"/>
        <v>DINSHEIM S/ BRUCHE</v>
      </c>
      <c r="C379" s="342" t="str">
        <f t="shared" si="16"/>
        <v>GO fini</v>
      </c>
      <c r="D379" s="117" t="s">
        <v>222</v>
      </c>
      <c r="E379" s="348">
        <v>48</v>
      </c>
      <c r="F379" s="349"/>
      <c r="G379" s="355"/>
    </row>
    <row r="380" spans="1:7" x14ac:dyDescent="0.25">
      <c r="A380" s="116" t="s">
        <v>357</v>
      </c>
      <c r="B380" s="116" t="str">
        <f t="shared" si="15"/>
        <v>MOLSHEIM</v>
      </c>
      <c r="C380" s="342" t="str">
        <f t="shared" si="16"/>
        <v>marchés en cours</v>
      </c>
      <c r="D380" s="117"/>
      <c r="E380" s="348"/>
      <c r="F380" s="349"/>
      <c r="G380" s="355"/>
    </row>
    <row r="381" spans="1:7" x14ac:dyDescent="0.25">
      <c r="A381" s="116" t="s">
        <v>200</v>
      </c>
      <c r="B381" s="116" t="str">
        <f t="shared" si="15"/>
        <v>KLEINFRANKENHEIM</v>
      </c>
      <c r="C381" s="342" t="str">
        <f t="shared" si="16"/>
        <v>second œuvre en cours charge client</v>
      </c>
      <c r="D381" s="343"/>
      <c r="E381" s="348"/>
      <c r="F381" s="349"/>
      <c r="G381" s="355"/>
    </row>
    <row r="382" spans="1:7" x14ac:dyDescent="0.25">
      <c r="A382" s="116" t="s">
        <v>161</v>
      </c>
      <c r="B382" s="116" t="str">
        <f t="shared" si="15"/>
        <v>HANGENBIENTEN</v>
      </c>
      <c r="C382" s="342" t="str">
        <f t="shared" si="16"/>
        <v>chape</v>
      </c>
      <c r="D382" s="137" t="s">
        <v>103</v>
      </c>
      <c r="E382" s="348">
        <v>42</v>
      </c>
      <c r="F382" s="349"/>
      <c r="G382" s="355"/>
    </row>
    <row r="383" spans="1:7" x14ac:dyDescent="0.25">
      <c r="A383" s="116" t="s">
        <v>185</v>
      </c>
      <c r="B383" s="116" t="str">
        <f t="shared" si="15"/>
        <v>PETERSBACH</v>
      </c>
      <c r="C383" s="342" t="str">
        <f t="shared" si="16"/>
        <v>couvert</v>
      </c>
      <c r="D383" s="137"/>
      <c r="E383" s="348"/>
      <c r="F383" s="349"/>
      <c r="G383" s="355"/>
    </row>
    <row r="384" spans="1:7" x14ac:dyDescent="0.25">
      <c r="A384" s="116" t="s">
        <v>162</v>
      </c>
      <c r="B384" s="116" t="str">
        <f t="shared" si="15"/>
        <v>ENTZHEIM</v>
      </c>
      <c r="C384" s="342" t="str">
        <f t="shared" si="16"/>
        <v>chape</v>
      </c>
      <c r="D384" s="117" t="s">
        <v>103</v>
      </c>
      <c r="E384" s="348">
        <v>42</v>
      </c>
      <c r="F384" s="349"/>
      <c r="G384" s="355"/>
    </row>
    <row r="385" spans="1:7" x14ac:dyDescent="0.25">
      <c r="A385" s="116" t="s">
        <v>152</v>
      </c>
      <c r="B385" s="116" t="str">
        <f t="shared" si="15"/>
        <v>KILSTETT</v>
      </c>
      <c r="C385" s="342" t="str">
        <f t="shared" si="16"/>
        <v>chantier en arrêt</v>
      </c>
      <c r="D385" s="117"/>
      <c r="E385" s="348"/>
      <c r="F385" s="349"/>
      <c r="G385" s="355"/>
    </row>
    <row r="386" spans="1:7" x14ac:dyDescent="0.25">
      <c r="A386" s="116" t="s">
        <v>218</v>
      </c>
      <c r="B386" s="116" t="str">
        <f t="shared" si="15"/>
        <v>ESCHBACH</v>
      </c>
      <c r="C386" s="342" t="str">
        <f t="shared" si="16"/>
        <v>couvert</v>
      </c>
      <c r="D386" s="117"/>
      <c r="E386" s="348"/>
      <c r="F386" s="349"/>
      <c r="G386" s="355"/>
    </row>
    <row r="387" spans="1:7" x14ac:dyDescent="0.25">
      <c r="A387" s="116" t="s">
        <v>163</v>
      </c>
      <c r="B387" s="116" t="str">
        <f t="shared" si="15"/>
        <v>BISCHWILLER</v>
      </c>
      <c r="C387" s="342" t="str">
        <f t="shared" si="16"/>
        <v>chape s42</v>
      </c>
      <c r="D387" s="117"/>
      <c r="E387" s="348"/>
      <c r="F387" s="349"/>
      <c r="G387" s="355"/>
    </row>
    <row r="388" spans="1:7" x14ac:dyDescent="0.25">
      <c r="A388" s="116" t="s">
        <v>153</v>
      </c>
      <c r="B388" s="116" t="str">
        <f t="shared" si="15"/>
        <v>PFETTISHEIM</v>
      </c>
      <c r="C388" s="342" t="str">
        <f t="shared" si="16"/>
        <v>à receptionner</v>
      </c>
      <c r="D388" s="117"/>
      <c r="E388" s="348"/>
      <c r="F388" s="349"/>
      <c r="G388" s="355"/>
    </row>
    <row r="389" spans="1:7" x14ac:dyDescent="0.25">
      <c r="A389" s="116" t="s">
        <v>201</v>
      </c>
      <c r="B389" s="116" t="str">
        <f t="shared" si="15"/>
        <v>KINDWILLER</v>
      </c>
      <c r="C389" s="342" t="str">
        <f t="shared" si="16"/>
        <v>clos couvert</v>
      </c>
      <c r="D389" s="117"/>
      <c r="E389" s="348"/>
      <c r="F389" s="349"/>
      <c r="G389" s="355"/>
    </row>
    <row r="390" spans="1:7" x14ac:dyDescent="0.25">
      <c r="A390" s="136" t="s">
        <v>180</v>
      </c>
      <c r="B390" s="136" t="str">
        <f t="shared" si="15"/>
        <v>KILSTETT</v>
      </c>
      <c r="C390" s="343" t="str">
        <f t="shared" si="16"/>
        <v>chape s42</v>
      </c>
      <c r="D390" s="137"/>
      <c r="E390" s="348"/>
      <c r="F390" s="349"/>
      <c r="G390" s="355"/>
    </row>
    <row r="391" spans="1:7" x14ac:dyDescent="0.25">
      <c r="A391" s="136" t="s">
        <v>214</v>
      </c>
      <c r="B391" s="136" t="str">
        <f t="shared" si="15"/>
        <v>BUST</v>
      </c>
      <c r="C391" s="137" t="str">
        <f t="shared" si="16"/>
        <v>couvert</v>
      </c>
      <c r="D391" s="137"/>
      <c r="E391" s="348"/>
      <c r="F391" s="349"/>
      <c r="G391" s="355"/>
    </row>
    <row r="392" spans="1:7" x14ac:dyDescent="0.25">
      <c r="A392" s="160" t="s">
        <v>202</v>
      </c>
      <c r="B392" s="160" t="str">
        <f t="shared" si="15"/>
        <v>LUTZELHOUSE</v>
      </c>
      <c r="C392" s="343" t="str">
        <f t="shared" si="16"/>
        <v>charpente</v>
      </c>
      <c r="D392" s="343" t="s">
        <v>222</v>
      </c>
      <c r="E392" s="348">
        <v>4</v>
      </c>
      <c r="F392" s="348"/>
      <c r="G392" s="356"/>
    </row>
    <row r="393" spans="1:7" x14ac:dyDescent="0.25">
      <c r="A393" s="160" t="s">
        <v>282</v>
      </c>
      <c r="B393" s="160" t="str">
        <f t="shared" si="15"/>
        <v>BREUSCHWICKERSHEIM</v>
      </c>
      <c r="C393" s="343" t="str">
        <f t="shared" si="16"/>
        <v>fondations</v>
      </c>
      <c r="D393" s="343"/>
      <c r="E393" s="348"/>
      <c r="F393" s="348"/>
      <c r="G393" s="356"/>
    </row>
    <row r="394" spans="1:7" x14ac:dyDescent="0.25">
      <c r="A394" s="160" t="s">
        <v>363</v>
      </c>
      <c r="B394" s="160" t="str">
        <f t="shared" si="15"/>
        <v>GAMBSHEIM</v>
      </c>
      <c r="C394" s="343" t="str">
        <f t="shared" si="16"/>
        <v>marchés en cours</v>
      </c>
      <c r="D394" s="343"/>
      <c r="E394" s="348"/>
      <c r="F394" s="348"/>
      <c r="G394" s="356"/>
    </row>
    <row r="395" spans="1:7" x14ac:dyDescent="0.25">
      <c r="A395" s="160" t="s">
        <v>364</v>
      </c>
      <c r="B395" s="160" t="str">
        <f t="shared" si="15"/>
        <v>OBERLAUTERBACH</v>
      </c>
      <c r="C395" s="343" t="str">
        <f t="shared" si="16"/>
        <v>marchés S43</v>
      </c>
      <c r="D395" s="343"/>
      <c r="E395" s="348"/>
      <c r="F395" s="348"/>
      <c r="G395" s="356"/>
    </row>
    <row r="396" spans="1:7" x14ac:dyDescent="0.25">
      <c r="A396" s="160" t="s">
        <v>181</v>
      </c>
      <c r="B396" s="161" t="str">
        <f t="shared" si="15"/>
        <v>OBERMODERN-ZUTZENDORF</v>
      </c>
      <c r="C396" s="343" t="str">
        <f>C351</f>
        <v>chape s41</v>
      </c>
      <c r="D396" s="343"/>
      <c r="E396" s="348"/>
      <c r="F396" s="348"/>
      <c r="G396" s="356"/>
    </row>
    <row r="397" spans="1:7" x14ac:dyDescent="0.25">
      <c r="A397" s="160" t="s">
        <v>164</v>
      </c>
      <c r="B397" s="161" t="str">
        <f t="shared" si="15"/>
        <v>WILDERSBACH</v>
      </c>
      <c r="C397" s="343" t="str">
        <f>C352</f>
        <v>à receptionner</v>
      </c>
      <c r="D397" s="343"/>
      <c r="E397" s="348"/>
      <c r="F397" s="348"/>
      <c r="G397" s="356"/>
    </row>
    <row r="398" spans="1:7" x14ac:dyDescent="0.25">
      <c r="A398" s="160" t="s">
        <v>248</v>
      </c>
      <c r="B398" s="161" t="str">
        <f t="shared" si="15"/>
        <v>AVENHEIM</v>
      </c>
      <c r="C398" s="343" t="str">
        <f>C353</f>
        <v>dalle basse RDC</v>
      </c>
      <c r="D398" s="343"/>
      <c r="E398" s="348"/>
      <c r="F398" s="348"/>
      <c r="G398" s="356"/>
    </row>
    <row r="399" spans="1:7" x14ac:dyDescent="0.25">
      <c r="A399" s="160"/>
      <c r="B399" s="343"/>
      <c r="C399" s="343"/>
      <c r="D399" s="148"/>
      <c r="E399" s="348"/>
      <c r="F399" s="348"/>
    </row>
    <row r="403" spans="1:8" x14ac:dyDescent="0.25">
      <c r="A403" s="407" t="s">
        <v>373</v>
      </c>
      <c r="B403" s="407"/>
      <c r="C403" s="407"/>
      <c r="D403" s="407"/>
      <c r="E403" s="407"/>
      <c r="F403" s="407"/>
      <c r="G403" s="407"/>
    </row>
    <row r="404" spans="1:8" ht="15.75" thickBot="1" x14ac:dyDescent="0.3">
      <c r="A404" s="407" t="s">
        <v>374</v>
      </c>
      <c r="B404" s="407"/>
      <c r="C404" s="407"/>
      <c r="D404" s="407"/>
      <c r="E404" s="407"/>
      <c r="F404" s="407"/>
      <c r="G404" s="407"/>
    </row>
    <row r="405" spans="1:8" ht="15" customHeight="1" x14ac:dyDescent="0.25">
      <c r="C405" s="401" t="s">
        <v>80</v>
      </c>
      <c r="D405" s="402"/>
    </row>
    <row r="406" spans="1:8" ht="6.75" customHeight="1" x14ac:dyDescent="0.25">
      <c r="C406" s="403"/>
      <c r="D406" s="404"/>
    </row>
    <row r="407" spans="1:8" ht="27" customHeight="1" thickBot="1" x14ac:dyDescent="0.3">
      <c r="C407" s="405"/>
      <c r="D407" s="406"/>
    </row>
    <row r="408" spans="1:8" ht="27" customHeight="1" thickBot="1" x14ac:dyDescent="0.3">
      <c r="C408" s="121" t="s">
        <v>1</v>
      </c>
      <c r="D408" s="113">
        <f ca="1">D228</f>
        <v>41</v>
      </c>
    </row>
    <row r="409" spans="1:8" ht="15" customHeight="1" x14ac:dyDescent="0.25">
      <c r="C409" s="121"/>
      <c r="H409" s="119"/>
    </row>
    <row r="410" spans="1:8" ht="10.5" customHeight="1" x14ac:dyDescent="0.25">
      <c r="C410" s="109"/>
      <c r="D410" s="109"/>
      <c r="E410" s="348"/>
      <c r="F410" s="348"/>
    </row>
    <row r="411" spans="1:8" ht="21.75" customHeight="1" x14ac:dyDescent="0.4">
      <c r="B411" s="114" t="s">
        <v>77</v>
      </c>
      <c r="C411" s="114" t="s">
        <v>90</v>
      </c>
      <c r="D411" s="342" t="s">
        <v>89</v>
      </c>
      <c r="E411" s="141"/>
      <c r="F411" s="348"/>
    </row>
    <row r="412" spans="1:8" ht="16.5" customHeight="1" x14ac:dyDescent="0.3">
      <c r="C412" s="110"/>
      <c r="D412" s="109"/>
      <c r="E412" s="348"/>
      <c r="F412" s="348"/>
    </row>
    <row r="413" spans="1:8" s="138" customFormat="1" ht="16.5" customHeight="1" x14ac:dyDescent="0.25">
      <c r="A413" s="369" t="s">
        <v>78</v>
      </c>
      <c r="B413" s="369" t="s">
        <v>294</v>
      </c>
      <c r="C413" s="141" t="s">
        <v>79</v>
      </c>
      <c r="D413" s="112" t="s">
        <v>375</v>
      </c>
      <c r="E413" s="348" t="s">
        <v>352</v>
      </c>
      <c r="F413" s="348" t="s">
        <v>369</v>
      </c>
      <c r="G413" s="141" t="s">
        <v>126</v>
      </c>
    </row>
    <row r="414" spans="1:8" ht="16.5" customHeight="1" x14ac:dyDescent="0.25">
      <c r="A414" s="111" t="s">
        <v>213</v>
      </c>
      <c r="B414" s="111" t="str">
        <f t="shared" ref="B414:B443" si="17">B10</f>
        <v>PFETTISHEIM</v>
      </c>
      <c r="C414" s="342" t="str">
        <f t="shared" ref="C414:C440" si="18">C369</f>
        <v>pignons</v>
      </c>
      <c r="D414" s="140" t="s">
        <v>311</v>
      </c>
      <c r="E414" s="348">
        <v>44</v>
      </c>
      <c r="F414" s="348"/>
      <c r="G414" s="354"/>
    </row>
    <row r="415" spans="1:8" x14ac:dyDescent="0.25">
      <c r="A415" s="116" t="s">
        <v>278</v>
      </c>
      <c r="B415" s="116" t="str">
        <f t="shared" si="17"/>
        <v>BLIENSCHWILLER</v>
      </c>
      <c r="C415" s="342" t="str">
        <f t="shared" si="18"/>
        <v>fondations</v>
      </c>
      <c r="D415" s="343" t="s">
        <v>326</v>
      </c>
      <c r="E415" s="348"/>
      <c r="F415" s="348"/>
      <c r="G415" s="355" t="s">
        <v>321</v>
      </c>
    </row>
    <row r="416" spans="1:8" x14ac:dyDescent="0.25">
      <c r="A416" s="116" t="s">
        <v>259</v>
      </c>
      <c r="B416" s="116" t="str">
        <f t="shared" si="17"/>
        <v>BERSTHEIM</v>
      </c>
      <c r="C416" s="342" t="str">
        <f t="shared" si="18"/>
        <v>dalle basse RDC</v>
      </c>
      <c r="D416" s="117"/>
      <c r="E416" s="348"/>
      <c r="F416" s="349"/>
      <c r="G416" s="355"/>
    </row>
    <row r="417" spans="1:7" x14ac:dyDescent="0.25">
      <c r="A417" s="116" t="s">
        <v>279</v>
      </c>
      <c r="B417" s="116" t="str">
        <f t="shared" si="17"/>
        <v>FRIEDOLSHEIM</v>
      </c>
      <c r="C417" s="342" t="str">
        <f t="shared" si="18"/>
        <v>dalle basse RDC</v>
      </c>
      <c r="D417" s="117" t="s">
        <v>326</v>
      </c>
      <c r="E417" s="348">
        <v>41</v>
      </c>
      <c r="F417" s="349"/>
      <c r="G417" s="355" t="s">
        <v>322</v>
      </c>
    </row>
    <row r="418" spans="1:7" x14ac:dyDescent="0.25">
      <c r="A418" s="116" t="s">
        <v>179</v>
      </c>
      <c r="B418" s="116" t="str">
        <f t="shared" si="17"/>
        <v>GERTSHEIM</v>
      </c>
      <c r="C418" s="342" t="str">
        <f t="shared" si="18"/>
        <v>à receptionner</v>
      </c>
      <c r="D418" s="117"/>
      <c r="E418" s="348"/>
      <c r="F418" s="349"/>
      <c r="G418" s="355"/>
    </row>
    <row r="419" spans="1:7" x14ac:dyDescent="0.25">
      <c r="A419" s="116" t="s">
        <v>197</v>
      </c>
      <c r="B419" s="116" t="str">
        <f t="shared" si="17"/>
        <v>STRASBOURG</v>
      </c>
      <c r="C419" s="342" t="str">
        <f t="shared" si="18"/>
        <v>chape s42</v>
      </c>
      <c r="D419" s="117"/>
      <c r="E419" s="348"/>
      <c r="F419" s="349"/>
      <c r="G419" s="355"/>
    </row>
    <row r="420" spans="1:7" x14ac:dyDescent="0.25">
      <c r="A420" s="116" t="s">
        <v>280</v>
      </c>
      <c r="B420" s="116" t="str">
        <f t="shared" si="17"/>
        <v>HENGWILLER</v>
      </c>
      <c r="C420" s="342" t="str">
        <f t="shared" si="18"/>
        <v>soubassement</v>
      </c>
      <c r="D420" s="117" t="s">
        <v>326</v>
      </c>
      <c r="E420" s="348"/>
      <c r="F420" s="349"/>
      <c r="G420" s="355" t="s">
        <v>323</v>
      </c>
    </row>
    <row r="421" spans="1:7" x14ac:dyDescent="0.25">
      <c r="A421" s="116" t="s">
        <v>198</v>
      </c>
      <c r="B421" s="116" t="str">
        <f t="shared" si="17"/>
        <v>HANGENBIENTEN</v>
      </c>
      <c r="C421" s="342" t="str">
        <f t="shared" si="18"/>
        <v>dalle basse RDC</v>
      </c>
      <c r="D421" s="117" t="s">
        <v>307</v>
      </c>
      <c r="E421" s="348"/>
      <c r="F421" s="349"/>
      <c r="G421" s="355"/>
    </row>
    <row r="422" spans="1:7" x14ac:dyDescent="0.25">
      <c r="A422" s="116" t="s">
        <v>281</v>
      </c>
      <c r="B422" s="116" t="str">
        <f t="shared" si="17"/>
        <v>OBERHOFFEN</v>
      </c>
      <c r="C422" s="342" t="str">
        <f t="shared" si="18"/>
        <v>dalle basse RDC</v>
      </c>
      <c r="D422" s="117"/>
      <c r="E422" s="348"/>
      <c r="F422" s="349"/>
      <c r="G422" s="355"/>
    </row>
    <row r="423" spans="1:7" x14ac:dyDescent="0.25">
      <c r="A423" s="153" t="s">
        <v>199</v>
      </c>
      <c r="B423" s="153" t="str">
        <f t="shared" si="17"/>
        <v>EBERSHEIM</v>
      </c>
      <c r="C423" s="163" t="str">
        <f t="shared" si="18"/>
        <v>couvert</v>
      </c>
      <c r="D423" s="164" t="s">
        <v>324</v>
      </c>
      <c r="E423" s="348">
        <v>46</v>
      </c>
      <c r="F423" s="352"/>
      <c r="G423" s="363"/>
    </row>
    <row r="424" spans="1:7" x14ac:dyDescent="0.25">
      <c r="A424" s="116" t="s">
        <v>256</v>
      </c>
      <c r="B424" s="116" t="str">
        <f t="shared" si="17"/>
        <v>DINSHEIM S/ BRUCHE</v>
      </c>
      <c r="C424" s="342" t="str">
        <f t="shared" si="18"/>
        <v>GO fini</v>
      </c>
      <c r="D424" s="117" t="s">
        <v>311</v>
      </c>
      <c r="E424" s="348">
        <v>45</v>
      </c>
      <c r="F424" s="349"/>
      <c r="G424" s="355"/>
    </row>
    <row r="425" spans="1:7" x14ac:dyDescent="0.25">
      <c r="A425" s="116" t="s">
        <v>357</v>
      </c>
      <c r="B425" s="116" t="str">
        <f t="shared" si="17"/>
        <v>MOLSHEIM</v>
      </c>
      <c r="C425" s="342" t="str">
        <f t="shared" si="18"/>
        <v>marchés en cours</v>
      </c>
      <c r="D425" s="164" t="s">
        <v>241</v>
      </c>
      <c r="E425" s="348" t="s">
        <v>355</v>
      </c>
      <c r="F425" s="346" t="s">
        <v>354</v>
      </c>
      <c r="G425" s="355"/>
    </row>
    <row r="426" spans="1:7" x14ac:dyDescent="0.25">
      <c r="A426" s="116" t="s">
        <v>200</v>
      </c>
      <c r="B426" s="116" t="str">
        <f t="shared" si="17"/>
        <v>KLEINFRANKENHEIM</v>
      </c>
      <c r="C426" s="342" t="str">
        <f t="shared" si="18"/>
        <v>second œuvre en cours charge client</v>
      </c>
      <c r="D426" s="117" t="s">
        <v>241</v>
      </c>
      <c r="E426" s="348">
        <v>42</v>
      </c>
      <c r="F426" s="349"/>
      <c r="G426" s="355"/>
    </row>
    <row r="427" spans="1:7" x14ac:dyDescent="0.25">
      <c r="A427" s="116" t="s">
        <v>161</v>
      </c>
      <c r="B427" s="116" t="str">
        <f t="shared" si="17"/>
        <v>HANGENBIENTEN</v>
      </c>
      <c r="C427" s="342" t="str">
        <f t="shared" si="18"/>
        <v>chape</v>
      </c>
      <c r="D427" s="117"/>
      <c r="E427" s="348"/>
      <c r="F427" s="349"/>
      <c r="G427" s="355"/>
    </row>
    <row r="428" spans="1:7" x14ac:dyDescent="0.25">
      <c r="A428" s="116" t="s">
        <v>185</v>
      </c>
      <c r="B428" s="116" t="str">
        <f t="shared" si="17"/>
        <v>PETERSBACH</v>
      </c>
      <c r="C428" s="342" t="str">
        <f t="shared" si="18"/>
        <v>couvert</v>
      </c>
      <c r="D428" s="117" t="s">
        <v>241</v>
      </c>
      <c r="E428" s="348">
        <v>42</v>
      </c>
      <c r="F428" s="349"/>
      <c r="G428" s="355"/>
    </row>
    <row r="429" spans="1:7" ht="15" customHeight="1" x14ac:dyDescent="0.25">
      <c r="A429" s="116" t="s">
        <v>162</v>
      </c>
      <c r="B429" s="116" t="str">
        <f t="shared" si="17"/>
        <v>ENTZHEIM</v>
      </c>
      <c r="C429" s="342" t="str">
        <f t="shared" si="18"/>
        <v>chape</v>
      </c>
      <c r="D429" s="117"/>
      <c r="E429" s="348"/>
      <c r="F429" s="349"/>
      <c r="G429" s="355"/>
    </row>
    <row r="430" spans="1:7" x14ac:dyDescent="0.25">
      <c r="A430" s="116" t="s">
        <v>152</v>
      </c>
      <c r="B430" s="116" t="str">
        <f t="shared" si="17"/>
        <v>KILSTETT</v>
      </c>
      <c r="C430" s="342" t="str">
        <f t="shared" si="18"/>
        <v>chantier en arrêt</v>
      </c>
      <c r="D430" s="117"/>
      <c r="E430" s="348"/>
      <c r="F430" s="349"/>
      <c r="G430" s="355"/>
    </row>
    <row r="431" spans="1:7" x14ac:dyDescent="0.25">
      <c r="A431" s="116" t="s">
        <v>218</v>
      </c>
      <c r="B431" s="116" t="str">
        <f t="shared" si="17"/>
        <v>ESCHBACH</v>
      </c>
      <c r="C431" s="342" t="str">
        <f t="shared" si="18"/>
        <v>couvert</v>
      </c>
      <c r="D431" s="117"/>
      <c r="E431" s="348"/>
      <c r="F431" s="349"/>
      <c r="G431" s="355"/>
    </row>
    <row r="432" spans="1:7" x14ac:dyDescent="0.25">
      <c r="A432" s="116" t="s">
        <v>163</v>
      </c>
      <c r="B432" s="116" t="str">
        <f t="shared" si="17"/>
        <v>BISCHWILLER</v>
      </c>
      <c r="C432" s="342" t="str">
        <f t="shared" si="18"/>
        <v>chape s42</v>
      </c>
      <c r="D432" s="117"/>
      <c r="E432" s="348"/>
      <c r="F432" s="349"/>
      <c r="G432" s="355"/>
    </row>
    <row r="433" spans="1:7" x14ac:dyDescent="0.25">
      <c r="A433" s="116" t="s">
        <v>153</v>
      </c>
      <c r="B433" s="116" t="str">
        <f t="shared" si="17"/>
        <v>PFETTISHEIM</v>
      </c>
      <c r="C433" s="342" t="str">
        <f t="shared" si="18"/>
        <v>à receptionner</v>
      </c>
      <c r="D433" s="117"/>
      <c r="E433" s="348"/>
      <c r="F433" s="349"/>
      <c r="G433" s="355"/>
    </row>
    <row r="434" spans="1:7" x14ac:dyDescent="0.25">
      <c r="A434" s="116" t="s">
        <v>201</v>
      </c>
      <c r="B434" s="116" t="str">
        <f t="shared" si="17"/>
        <v>KINDWILLER</v>
      </c>
      <c r="C434" s="342" t="str">
        <f t="shared" si="18"/>
        <v>clos couvert</v>
      </c>
      <c r="D434" s="117"/>
      <c r="E434" s="348"/>
      <c r="F434" s="349"/>
      <c r="G434" s="355"/>
    </row>
    <row r="435" spans="1:7" x14ac:dyDescent="0.25">
      <c r="A435" s="136" t="s">
        <v>180</v>
      </c>
      <c r="B435" s="136" t="str">
        <f t="shared" si="17"/>
        <v>KILSTETT</v>
      </c>
      <c r="C435" s="343" t="str">
        <f t="shared" si="18"/>
        <v>chape s42</v>
      </c>
      <c r="D435" s="137"/>
      <c r="E435" s="348"/>
      <c r="F435" s="349"/>
      <c r="G435" s="355"/>
    </row>
    <row r="436" spans="1:7" x14ac:dyDescent="0.25">
      <c r="A436" s="136" t="s">
        <v>214</v>
      </c>
      <c r="B436" s="136" t="str">
        <f t="shared" si="17"/>
        <v>BUST</v>
      </c>
      <c r="C436" s="343" t="str">
        <f t="shared" si="18"/>
        <v>couvert</v>
      </c>
      <c r="D436" s="137" t="s">
        <v>324</v>
      </c>
      <c r="E436" s="348">
        <v>45</v>
      </c>
      <c r="F436" s="349"/>
      <c r="G436" s="355"/>
    </row>
    <row r="437" spans="1:7" x14ac:dyDescent="0.25">
      <c r="A437" s="160" t="s">
        <v>202</v>
      </c>
      <c r="B437" s="160" t="str">
        <f t="shared" si="17"/>
        <v>LUTZELHOUSE</v>
      </c>
      <c r="C437" s="343" t="str">
        <f t="shared" si="18"/>
        <v>charpente</v>
      </c>
      <c r="D437" s="343" t="s">
        <v>326</v>
      </c>
      <c r="E437" s="348" t="s">
        <v>7</v>
      </c>
      <c r="F437" s="348"/>
      <c r="G437" s="356" t="s">
        <v>325</v>
      </c>
    </row>
    <row r="438" spans="1:7" x14ac:dyDescent="0.25">
      <c r="A438" s="160" t="s">
        <v>282</v>
      </c>
      <c r="B438" s="160" t="str">
        <f t="shared" si="17"/>
        <v>BREUSCHWICKERSHEIM</v>
      </c>
      <c r="C438" s="343" t="str">
        <f t="shared" si="18"/>
        <v>fondations</v>
      </c>
      <c r="D438" s="343"/>
      <c r="E438" s="348"/>
      <c r="F438" s="348"/>
      <c r="G438" s="356"/>
    </row>
    <row r="439" spans="1:7" x14ac:dyDescent="0.25">
      <c r="A439" s="160" t="s">
        <v>363</v>
      </c>
      <c r="B439" s="160" t="str">
        <f t="shared" si="17"/>
        <v>GAMBSHEIM</v>
      </c>
      <c r="C439" s="343" t="str">
        <f t="shared" si="18"/>
        <v>marchés en cours</v>
      </c>
      <c r="D439" s="343"/>
      <c r="E439" s="348"/>
      <c r="F439" s="348"/>
      <c r="G439" s="356"/>
    </row>
    <row r="440" spans="1:7" x14ac:dyDescent="0.25">
      <c r="A440" s="160" t="s">
        <v>364</v>
      </c>
      <c r="B440" s="160" t="str">
        <f t="shared" si="17"/>
        <v>OBERLAUTERBACH</v>
      </c>
      <c r="C440" s="343" t="str">
        <f t="shared" si="18"/>
        <v>marchés S43</v>
      </c>
      <c r="D440" s="343" t="s">
        <v>134</v>
      </c>
      <c r="E440" s="348" t="s">
        <v>7</v>
      </c>
      <c r="F440" s="348"/>
      <c r="G440" s="356" t="s">
        <v>325</v>
      </c>
    </row>
    <row r="441" spans="1:7" x14ac:dyDescent="0.25">
      <c r="A441" s="160" t="s">
        <v>181</v>
      </c>
      <c r="B441" s="161" t="str">
        <f t="shared" si="17"/>
        <v>OBERMODERN-ZUTZENDORF</v>
      </c>
      <c r="C441" s="343" t="str">
        <f>C396</f>
        <v>chape s41</v>
      </c>
      <c r="D441" s="343"/>
      <c r="E441" s="348"/>
      <c r="F441" s="348"/>
      <c r="G441" s="356"/>
    </row>
    <row r="442" spans="1:7" x14ac:dyDescent="0.25">
      <c r="A442" s="160" t="s">
        <v>164</v>
      </c>
      <c r="B442" s="161" t="str">
        <f t="shared" si="17"/>
        <v>WILDERSBACH</v>
      </c>
      <c r="C442" s="343" t="str">
        <f>C397</f>
        <v>à receptionner</v>
      </c>
      <c r="D442" s="343"/>
      <c r="E442" s="348"/>
      <c r="F442" s="348"/>
      <c r="G442" s="356"/>
    </row>
    <row r="443" spans="1:7" x14ac:dyDescent="0.25">
      <c r="A443" s="160" t="s">
        <v>248</v>
      </c>
      <c r="B443" s="161" t="str">
        <f t="shared" si="17"/>
        <v>AVENHEIM</v>
      </c>
      <c r="C443" s="343" t="str">
        <f>C398</f>
        <v>dalle basse RDC</v>
      </c>
      <c r="D443" s="343"/>
      <c r="E443" s="348"/>
      <c r="F443" s="348"/>
      <c r="G443" s="356"/>
    </row>
    <row r="444" spans="1:7" x14ac:dyDescent="0.25">
      <c r="A444" s="160"/>
      <c r="B444" s="343"/>
      <c r="C444" s="343"/>
      <c r="D444" s="148"/>
      <c r="E444" s="348"/>
      <c r="F444" s="348"/>
    </row>
    <row r="448" spans="1:7" x14ac:dyDescent="0.25">
      <c r="A448" s="407" t="s">
        <v>373</v>
      </c>
      <c r="B448" s="407"/>
      <c r="C448" s="407"/>
      <c r="D448" s="407"/>
      <c r="E448" s="407"/>
      <c r="F448" s="407"/>
      <c r="G448" s="407"/>
    </row>
    <row r="449" spans="1:8" ht="15.75" thickBot="1" x14ac:dyDescent="0.3">
      <c r="A449" s="407" t="s">
        <v>374</v>
      </c>
      <c r="B449" s="407"/>
      <c r="C449" s="407"/>
      <c r="D449" s="407"/>
      <c r="E449" s="407"/>
      <c r="F449" s="407"/>
      <c r="G449" s="407"/>
    </row>
    <row r="450" spans="1:8" ht="15" customHeight="1" x14ac:dyDescent="0.25">
      <c r="C450" s="401" t="s">
        <v>80</v>
      </c>
      <c r="D450" s="402"/>
    </row>
    <row r="451" spans="1:8" ht="6.75" customHeight="1" x14ac:dyDescent="0.25">
      <c r="C451" s="403"/>
      <c r="D451" s="404"/>
    </row>
    <row r="452" spans="1:8" ht="27" customHeight="1" thickBot="1" x14ac:dyDescent="0.3">
      <c r="C452" s="405"/>
      <c r="D452" s="406"/>
    </row>
    <row r="453" spans="1:8" ht="27" customHeight="1" thickBot="1" x14ac:dyDescent="0.3">
      <c r="C453" s="121" t="s">
        <v>1</v>
      </c>
      <c r="D453" s="113">
        <f ca="1">D273</f>
        <v>41</v>
      </c>
    </row>
    <row r="454" spans="1:8" ht="15" customHeight="1" x14ac:dyDescent="0.25">
      <c r="C454" s="121"/>
      <c r="H454" s="119"/>
    </row>
    <row r="455" spans="1:8" ht="10.5" customHeight="1" x14ac:dyDescent="0.25">
      <c r="C455" s="109"/>
      <c r="D455" s="109"/>
      <c r="E455" s="348"/>
      <c r="F455" s="348"/>
    </row>
    <row r="456" spans="1:8" ht="21.75" customHeight="1" x14ac:dyDescent="0.4">
      <c r="B456" s="114" t="s">
        <v>77</v>
      </c>
      <c r="C456" s="114" t="s">
        <v>56</v>
      </c>
      <c r="D456" s="342" t="s">
        <v>149</v>
      </c>
      <c r="E456" s="141"/>
      <c r="F456" s="348"/>
    </row>
    <row r="457" spans="1:8" ht="16.5" customHeight="1" x14ac:dyDescent="0.3">
      <c r="C457" s="110"/>
      <c r="D457" s="109"/>
      <c r="E457" s="348"/>
      <c r="F457" s="348"/>
    </row>
    <row r="458" spans="1:8" s="138" customFormat="1" ht="16.5" customHeight="1" x14ac:dyDescent="0.25">
      <c r="A458" s="369" t="s">
        <v>78</v>
      </c>
      <c r="B458" s="369" t="s">
        <v>294</v>
      </c>
      <c r="C458" s="141" t="s">
        <v>79</v>
      </c>
      <c r="D458" s="112" t="s">
        <v>375</v>
      </c>
      <c r="E458" s="348" t="s">
        <v>352</v>
      </c>
      <c r="F458" s="348" t="s">
        <v>369</v>
      </c>
      <c r="G458" s="141" t="s">
        <v>126</v>
      </c>
    </row>
    <row r="459" spans="1:8" ht="16.5" customHeight="1" x14ac:dyDescent="0.25">
      <c r="A459" s="111" t="s">
        <v>213</v>
      </c>
      <c r="B459" s="111" t="str">
        <f t="shared" ref="B459:B488" si="19">B10</f>
        <v>PFETTISHEIM</v>
      </c>
      <c r="C459" s="342" t="str">
        <f t="shared" ref="C459:C485" si="20">C414</f>
        <v>pignons</v>
      </c>
      <c r="D459" s="140"/>
      <c r="E459" s="349"/>
      <c r="F459" s="348"/>
      <c r="G459" s="354"/>
    </row>
    <row r="460" spans="1:8" x14ac:dyDescent="0.25">
      <c r="A460" s="116" t="s">
        <v>278</v>
      </c>
      <c r="B460" s="116" t="str">
        <f t="shared" si="19"/>
        <v>BLIENSCHWILLER</v>
      </c>
      <c r="C460" s="342" t="str">
        <f t="shared" si="20"/>
        <v>fondations</v>
      </c>
      <c r="D460" s="117" t="s">
        <v>238</v>
      </c>
      <c r="E460" s="349">
        <v>48</v>
      </c>
      <c r="F460" s="349"/>
      <c r="G460" s="355"/>
    </row>
    <row r="461" spans="1:8" x14ac:dyDescent="0.25">
      <c r="A461" s="116" t="s">
        <v>259</v>
      </c>
      <c r="B461" s="116" t="str">
        <f t="shared" si="19"/>
        <v>BERSTHEIM</v>
      </c>
      <c r="C461" s="342" t="str">
        <f t="shared" si="20"/>
        <v>dalle basse RDC</v>
      </c>
      <c r="D461" s="117" t="s">
        <v>238</v>
      </c>
      <c r="E461" s="349">
        <v>45</v>
      </c>
      <c r="F461" s="349"/>
      <c r="G461" s="355"/>
    </row>
    <row r="462" spans="1:8" x14ac:dyDescent="0.25">
      <c r="A462" s="116" t="s">
        <v>279</v>
      </c>
      <c r="B462" s="116" t="str">
        <f t="shared" si="19"/>
        <v>FRIEDOLSHEIM</v>
      </c>
      <c r="C462" s="342" t="str">
        <f t="shared" si="20"/>
        <v>dalle basse RDC</v>
      </c>
      <c r="D462" s="117" t="s">
        <v>238</v>
      </c>
      <c r="E462" s="349">
        <v>43</v>
      </c>
      <c r="F462" s="349"/>
      <c r="G462" s="355"/>
    </row>
    <row r="463" spans="1:8" x14ac:dyDescent="0.25">
      <c r="A463" s="116" t="s">
        <v>179</v>
      </c>
      <c r="B463" s="116" t="str">
        <f t="shared" si="19"/>
        <v>GERTSHEIM</v>
      </c>
      <c r="C463" s="342" t="str">
        <f t="shared" si="20"/>
        <v>à receptionner</v>
      </c>
      <c r="D463" s="117"/>
      <c r="E463" s="349"/>
      <c r="F463" s="349"/>
      <c r="G463" s="355"/>
    </row>
    <row r="464" spans="1:8" x14ac:dyDescent="0.25">
      <c r="A464" s="116" t="s">
        <v>197</v>
      </c>
      <c r="B464" s="116" t="str">
        <f t="shared" si="19"/>
        <v>STRASBOURG</v>
      </c>
      <c r="C464" s="342" t="str">
        <f t="shared" si="20"/>
        <v>chape s42</v>
      </c>
      <c r="D464" s="117" t="s">
        <v>262</v>
      </c>
      <c r="E464" s="349">
        <v>48</v>
      </c>
      <c r="F464" s="349"/>
      <c r="G464" s="355"/>
    </row>
    <row r="465" spans="1:7" x14ac:dyDescent="0.25">
      <c r="A465" s="116" t="s">
        <v>280</v>
      </c>
      <c r="B465" s="116" t="str">
        <f t="shared" si="19"/>
        <v>HENGWILLER</v>
      </c>
      <c r="C465" s="342" t="str">
        <f t="shared" si="20"/>
        <v>soubassement</v>
      </c>
      <c r="D465" s="117"/>
      <c r="E465" s="349"/>
      <c r="F465" s="349"/>
      <c r="G465" s="355"/>
    </row>
    <row r="466" spans="1:7" x14ac:dyDescent="0.25">
      <c r="A466" s="116" t="s">
        <v>198</v>
      </c>
      <c r="B466" s="116" t="str">
        <f t="shared" si="19"/>
        <v>HANGENBIENTEN</v>
      </c>
      <c r="C466" s="342" t="str">
        <f t="shared" si="20"/>
        <v>dalle basse RDC</v>
      </c>
      <c r="D466" s="117"/>
      <c r="E466" s="349">
        <v>38</v>
      </c>
      <c r="F466" s="349"/>
      <c r="G466" s="355"/>
    </row>
    <row r="467" spans="1:7" s="165" customFormat="1" x14ac:dyDescent="0.25">
      <c r="A467" s="153" t="s">
        <v>281</v>
      </c>
      <c r="B467" s="153" t="str">
        <f t="shared" si="19"/>
        <v>OBERHOFFEN</v>
      </c>
      <c r="C467" s="163" t="str">
        <f t="shared" si="20"/>
        <v>dalle basse RDC</v>
      </c>
      <c r="D467" s="164"/>
      <c r="E467" s="349"/>
      <c r="F467" s="352"/>
      <c r="G467" s="363"/>
    </row>
    <row r="468" spans="1:7" s="166" customFormat="1" x14ac:dyDescent="0.25">
      <c r="A468" s="153" t="s">
        <v>199</v>
      </c>
      <c r="B468" s="153" t="str">
        <f t="shared" si="19"/>
        <v>EBERSHEIM</v>
      </c>
      <c r="C468" s="163" t="str">
        <f t="shared" si="20"/>
        <v>couvert</v>
      </c>
      <c r="D468" s="164" t="s">
        <v>220</v>
      </c>
      <c r="E468" s="349">
        <v>43</v>
      </c>
      <c r="F468" s="352"/>
      <c r="G468" s="361"/>
    </row>
    <row r="469" spans="1:7" x14ac:dyDescent="0.25">
      <c r="A469" s="116" t="s">
        <v>256</v>
      </c>
      <c r="B469" s="116" t="str">
        <f t="shared" si="19"/>
        <v>DINSHEIM S/ BRUCHE</v>
      </c>
      <c r="C469" s="342" t="str">
        <f t="shared" si="20"/>
        <v>GO fini</v>
      </c>
      <c r="D469" s="117" t="s">
        <v>238</v>
      </c>
      <c r="E469" s="349">
        <v>41</v>
      </c>
      <c r="F469" s="349"/>
      <c r="G469" s="355"/>
    </row>
    <row r="470" spans="1:7" x14ac:dyDescent="0.25">
      <c r="A470" s="116" t="s">
        <v>357</v>
      </c>
      <c r="B470" s="116" t="str">
        <f t="shared" si="19"/>
        <v>MOLSHEIM</v>
      </c>
      <c r="C470" s="342" t="str">
        <f t="shared" si="20"/>
        <v>marchés en cours</v>
      </c>
      <c r="D470" s="117"/>
      <c r="E470" s="349"/>
      <c r="F470" s="349"/>
      <c r="G470" s="355"/>
    </row>
    <row r="471" spans="1:7" x14ac:dyDescent="0.25">
      <c r="A471" s="116" t="s">
        <v>200</v>
      </c>
      <c r="B471" s="116" t="str">
        <f t="shared" si="19"/>
        <v>KLEINFRANKENHEIM</v>
      </c>
      <c r="C471" s="342" t="str">
        <f t="shared" si="20"/>
        <v>second œuvre en cours charge client</v>
      </c>
      <c r="D471" s="117" t="s">
        <v>262</v>
      </c>
      <c r="E471" s="349">
        <v>45</v>
      </c>
      <c r="F471" s="349"/>
      <c r="G471" s="162"/>
    </row>
    <row r="472" spans="1:7" x14ac:dyDescent="0.25">
      <c r="A472" s="116" t="s">
        <v>161</v>
      </c>
      <c r="B472" s="116" t="str">
        <f t="shared" si="19"/>
        <v>HANGENBIENTEN</v>
      </c>
      <c r="C472" s="342" t="str">
        <f t="shared" si="20"/>
        <v>chape</v>
      </c>
      <c r="D472" s="117"/>
      <c r="E472" s="349"/>
      <c r="F472" s="349"/>
      <c r="G472" s="355"/>
    </row>
    <row r="473" spans="1:7" x14ac:dyDescent="0.25">
      <c r="A473" s="116" t="s">
        <v>185</v>
      </c>
      <c r="B473" s="116" t="str">
        <f t="shared" si="19"/>
        <v>PETERSBACH</v>
      </c>
      <c r="C473" s="342" t="str">
        <f t="shared" si="20"/>
        <v>couvert</v>
      </c>
      <c r="D473" s="117" t="s">
        <v>327</v>
      </c>
      <c r="E473" s="349">
        <v>43</v>
      </c>
      <c r="F473" s="349"/>
      <c r="G473" s="162"/>
    </row>
    <row r="474" spans="1:7" x14ac:dyDescent="0.25">
      <c r="A474" s="116" t="s">
        <v>162</v>
      </c>
      <c r="B474" s="116" t="str">
        <f t="shared" si="19"/>
        <v>ENTZHEIM</v>
      </c>
      <c r="C474" s="342" t="str">
        <f t="shared" si="20"/>
        <v>chape</v>
      </c>
      <c r="D474" s="117" t="s">
        <v>329</v>
      </c>
      <c r="E474" s="349"/>
      <c r="F474" s="349"/>
      <c r="G474" s="355" t="s">
        <v>328</v>
      </c>
    </row>
    <row r="475" spans="1:7" x14ac:dyDescent="0.25">
      <c r="A475" s="116" t="s">
        <v>152</v>
      </c>
      <c r="B475" s="116" t="str">
        <f t="shared" si="19"/>
        <v>KILSTETT</v>
      </c>
      <c r="C475" s="342" t="str">
        <f t="shared" si="20"/>
        <v>chantier en arrêt</v>
      </c>
      <c r="D475" s="117"/>
      <c r="E475" s="349"/>
      <c r="F475" s="349"/>
      <c r="G475" s="355"/>
    </row>
    <row r="476" spans="1:7" x14ac:dyDescent="0.25">
      <c r="A476" s="116" t="s">
        <v>218</v>
      </c>
      <c r="B476" s="116" t="str">
        <f t="shared" si="19"/>
        <v>ESCHBACH</v>
      </c>
      <c r="C476" s="342" t="str">
        <f t="shared" si="20"/>
        <v>couvert</v>
      </c>
      <c r="D476" s="117" t="s">
        <v>262</v>
      </c>
      <c r="E476" s="349">
        <v>46</v>
      </c>
      <c r="F476" s="349"/>
      <c r="G476" s="355"/>
    </row>
    <row r="477" spans="1:7" x14ac:dyDescent="0.25">
      <c r="A477" s="116" t="s">
        <v>163</v>
      </c>
      <c r="B477" s="116" t="str">
        <f t="shared" si="19"/>
        <v>BISCHWILLER</v>
      </c>
      <c r="C477" s="342" t="str">
        <f t="shared" si="20"/>
        <v>chape s42</v>
      </c>
      <c r="D477" s="117"/>
      <c r="E477" s="349"/>
      <c r="F477" s="349"/>
      <c r="G477" s="355"/>
    </row>
    <row r="478" spans="1:7" x14ac:dyDescent="0.25">
      <c r="A478" s="116" t="s">
        <v>153</v>
      </c>
      <c r="B478" s="116" t="str">
        <f t="shared" si="19"/>
        <v>PFETTISHEIM</v>
      </c>
      <c r="C478" s="342" t="str">
        <f t="shared" si="20"/>
        <v>à receptionner</v>
      </c>
      <c r="D478" s="117"/>
      <c r="E478" s="349"/>
      <c r="F478" s="349"/>
      <c r="G478" s="355"/>
    </row>
    <row r="479" spans="1:7" x14ac:dyDescent="0.25">
      <c r="A479" s="116" t="s">
        <v>201</v>
      </c>
      <c r="B479" s="116" t="str">
        <f t="shared" si="19"/>
        <v>KINDWILLER</v>
      </c>
      <c r="C479" s="342" t="str">
        <f t="shared" si="20"/>
        <v>clos couvert</v>
      </c>
      <c r="D479" s="117" t="s">
        <v>330</v>
      </c>
      <c r="E479" s="349">
        <v>47</v>
      </c>
      <c r="F479" s="349"/>
      <c r="G479" s="355"/>
    </row>
    <row r="480" spans="1:7" x14ac:dyDescent="0.25">
      <c r="A480" s="136" t="s">
        <v>180</v>
      </c>
      <c r="B480" s="136" t="str">
        <f t="shared" si="19"/>
        <v>KILSTETT</v>
      </c>
      <c r="C480" s="343" t="str">
        <f t="shared" si="20"/>
        <v>chape s42</v>
      </c>
      <c r="D480" s="137"/>
      <c r="E480" s="349"/>
      <c r="F480" s="349"/>
      <c r="G480" s="162"/>
    </row>
    <row r="481" spans="1:7" x14ac:dyDescent="0.25">
      <c r="A481" s="136" t="s">
        <v>214</v>
      </c>
      <c r="B481" s="136" t="str">
        <f t="shared" si="19"/>
        <v>BUST</v>
      </c>
      <c r="C481" s="137" t="str">
        <f t="shared" si="20"/>
        <v>couvert</v>
      </c>
      <c r="D481" s="137" t="s">
        <v>220</v>
      </c>
      <c r="E481" s="349">
        <v>44</v>
      </c>
      <c r="F481" s="349"/>
      <c r="G481" s="355"/>
    </row>
    <row r="482" spans="1:7" s="166" customFormat="1" x14ac:dyDescent="0.25">
      <c r="A482" s="160" t="s">
        <v>202</v>
      </c>
      <c r="B482" s="160" t="str">
        <f t="shared" si="19"/>
        <v>LUTZELHOUSE</v>
      </c>
      <c r="C482" s="343" t="str">
        <f t="shared" si="20"/>
        <v>charpente</v>
      </c>
      <c r="D482" s="343"/>
      <c r="E482" s="349"/>
      <c r="F482" s="351"/>
      <c r="G482" s="364"/>
    </row>
    <row r="483" spans="1:7" x14ac:dyDescent="0.25">
      <c r="A483" s="160" t="s">
        <v>282</v>
      </c>
      <c r="B483" s="160" t="str">
        <f t="shared" si="19"/>
        <v>BREUSCHWICKERSHEIM</v>
      </c>
      <c r="C483" s="343" t="str">
        <f t="shared" si="20"/>
        <v>fondations</v>
      </c>
      <c r="D483" s="343"/>
      <c r="E483" s="349"/>
      <c r="F483" s="348"/>
      <c r="G483" s="356"/>
    </row>
    <row r="484" spans="1:7" x14ac:dyDescent="0.25">
      <c r="A484" s="160" t="s">
        <v>363</v>
      </c>
      <c r="B484" s="160" t="str">
        <f t="shared" si="19"/>
        <v>GAMBSHEIM</v>
      </c>
      <c r="C484" s="343" t="str">
        <f t="shared" si="20"/>
        <v>marchés en cours</v>
      </c>
      <c r="D484" s="343"/>
      <c r="E484" s="349"/>
      <c r="F484" s="348"/>
      <c r="G484" s="356"/>
    </row>
    <row r="485" spans="1:7" x14ac:dyDescent="0.25">
      <c r="A485" s="160" t="s">
        <v>364</v>
      </c>
      <c r="B485" s="160" t="str">
        <f t="shared" si="19"/>
        <v>OBERLAUTERBACH</v>
      </c>
      <c r="C485" s="343" t="str">
        <f t="shared" si="20"/>
        <v>marchés S43</v>
      </c>
      <c r="D485" s="343" t="s">
        <v>238</v>
      </c>
      <c r="E485" s="349">
        <v>44</v>
      </c>
      <c r="F485" s="348"/>
      <c r="G485" s="356"/>
    </row>
    <row r="486" spans="1:7" x14ac:dyDescent="0.25">
      <c r="A486" s="160" t="s">
        <v>181</v>
      </c>
      <c r="B486" s="161" t="str">
        <f t="shared" si="19"/>
        <v>OBERMODERN-ZUTZENDORF</v>
      </c>
      <c r="C486" s="343" t="str">
        <f>C441</f>
        <v>chape s41</v>
      </c>
      <c r="D486" s="137"/>
      <c r="E486" s="348"/>
      <c r="F486" s="348"/>
      <c r="G486" s="356"/>
    </row>
    <row r="487" spans="1:7" x14ac:dyDescent="0.25">
      <c r="A487" s="160" t="s">
        <v>164</v>
      </c>
      <c r="B487" s="161" t="str">
        <f t="shared" si="19"/>
        <v>WILDERSBACH</v>
      </c>
      <c r="C487" s="343" t="str">
        <f>C442</f>
        <v>à receptionner</v>
      </c>
      <c r="D487" s="137"/>
      <c r="E487" s="348"/>
      <c r="F487" s="348"/>
      <c r="G487" s="356"/>
    </row>
    <row r="488" spans="1:7" x14ac:dyDescent="0.25">
      <c r="A488" s="160" t="s">
        <v>248</v>
      </c>
      <c r="B488" s="161" t="str">
        <f t="shared" si="19"/>
        <v>AVENHEIM</v>
      </c>
      <c r="C488" s="343" t="str">
        <f>C443</f>
        <v>dalle basse RDC</v>
      </c>
      <c r="D488" s="343"/>
      <c r="E488" s="348"/>
      <c r="F488" s="348"/>
      <c r="G488" s="356"/>
    </row>
    <row r="489" spans="1:7" x14ac:dyDescent="0.25">
      <c r="A489" s="160"/>
      <c r="B489" s="343"/>
      <c r="C489" s="343"/>
      <c r="D489" s="148"/>
      <c r="E489" s="348"/>
      <c r="F489" s="348"/>
    </row>
    <row r="493" spans="1:7" x14ac:dyDescent="0.25">
      <c r="A493" s="407" t="s">
        <v>373</v>
      </c>
      <c r="B493" s="407"/>
      <c r="C493" s="407"/>
      <c r="D493" s="407"/>
      <c r="E493" s="407"/>
      <c r="F493" s="407"/>
      <c r="G493" s="407"/>
    </row>
    <row r="494" spans="1:7" ht="15.75" thickBot="1" x14ac:dyDescent="0.3">
      <c r="A494" s="407" t="s">
        <v>374</v>
      </c>
      <c r="B494" s="407"/>
      <c r="C494" s="407"/>
      <c r="D494" s="407"/>
      <c r="E494" s="407"/>
      <c r="F494" s="407"/>
      <c r="G494" s="407"/>
    </row>
    <row r="495" spans="1:7" ht="15" customHeight="1" x14ac:dyDescent="0.25">
      <c r="C495" s="401" t="s">
        <v>80</v>
      </c>
      <c r="D495" s="402"/>
    </row>
    <row r="496" spans="1:7" ht="6.75" customHeight="1" x14ac:dyDescent="0.25">
      <c r="C496" s="403"/>
      <c r="D496" s="404"/>
    </row>
    <row r="497" spans="1:8" ht="27" customHeight="1" thickBot="1" x14ac:dyDescent="0.3">
      <c r="C497" s="405"/>
      <c r="D497" s="406"/>
    </row>
    <row r="498" spans="1:8" ht="27" customHeight="1" thickBot="1" x14ac:dyDescent="0.3">
      <c r="C498" s="121" t="s">
        <v>1</v>
      </c>
      <c r="D498" s="113">
        <f ca="1">D318</f>
        <v>41</v>
      </c>
    </row>
    <row r="499" spans="1:8" ht="15" customHeight="1" x14ac:dyDescent="0.25">
      <c r="C499" s="121"/>
      <c r="H499" s="119"/>
    </row>
    <row r="500" spans="1:8" ht="10.5" customHeight="1" x14ac:dyDescent="0.25">
      <c r="C500" s="109"/>
      <c r="D500" s="109"/>
      <c r="E500" s="348"/>
      <c r="F500" s="348"/>
    </row>
    <row r="501" spans="1:8" ht="21.75" customHeight="1" x14ac:dyDescent="0.4">
      <c r="B501" s="114" t="s">
        <v>77</v>
      </c>
      <c r="C501" s="114" t="s">
        <v>41</v>
      </c>
      <c r="D501" s="342" t="s">
        <v>101</v>
      </c>
      <c r="E501" s="141"/>
      <c r="F501" s="348"/>
    </row>
    <row r="502" spans="1:8" ht="16.5" customHeight="1" x14ac:dyDescent="0.3">
      <c r="C502" s="110"/>
      <c r="D502" s="109"/>
      <c r="E502" s="348"/>
      <c r="F502" s="348"/>
    </row>
    <row r="503" spans="1:8" s="138" customFormat="1" ht="16.5" customHeight="1" x14ac:dyDescent="0.25">
      <c r="A503" s="369" t="s">
        <v>78</v>
      </c>
      <c r="B503" s="369" t="s">
        <v>294</v>
      </c>
      <c r="C503" s="141" t="s">
        <v>79</v>
      </c>
      <c r="D503" s="112" t="s">
        <v>375</v>
      </c>
      <c r="E503" s="348" t="s">
        <v>352</v>
      </c>
      <c r="F503" s="348" t="s">
        <v>369</v>
      </c>
      <c r="G503" s="141" t="s">
        <v>126</v>
      </c>
    </row>
    <row r="504" spans="1:8" ht="16.5" customHeight="1" x14ac:dyDescent="0.25">
      <c r="A504" s="111" t="s">
        <v>213</v>
      </c>
      <c r="B504" s="111" t="str">
        <f t="shared" ref="B504:B533" si="21">B10</f>
        <v>PFETTISHEIM</v>
      </c>
      <c r="C504" s="342" t="str">
        <f t="shared" ref="C504:C510" si="22">C459</f>
        <v>pignons</v>
      </c>
      <c r="D504" s="140" t="s">
        <v>331</v>
      </c>
      <c r="E504" s="348">
        <v>42</v>
      </c>
      <c r="F504" s="348"/>
      <c r="G504" s="354"/>
    </row>
    <row r="505" spans="1:8" x14ac:dyDescent="0.25">
      <c r="A505" s="116" t="s">
        <v>278</v>
      </c>
      <c r="B505" s="116" t="str">
        <f t="shared" si="21"/>
        <v>BLIENSCHWILLER</v>
      </c>
      <c r="C505" s="342" t="str">
        <f t="shared" si="22"/>
        <v>fondations</v>
      </c>
      <c r="D505" s="117"/>
      <c r="E505" s="348"/>
      <c r="F505" s="349"/>
      <c r="G505" s="355"/>
    </row>
    <row r="506" spans="1:8" x14ac:dyDescent="0.25">
      <c r="A506" s="116" t="s">
        <v>259</v>
      </c>
      <c r="B506" s="116" t="str">
        <f t="shared" si="21"/>
        <v>BERSTHEIM</v>
      </c>
      <c r="C506" s="342" t="str">
        <f t="shared" si="22"/>
        <v>dalle basse RDC</v>
      </c>
      <c r="D506" s="117" t="s">
        <v>331</v>
      </c>
      <c r="E506" s="348">
        <v>46</v>
      </c>
      <c r="F506" s="349"/>
      <c r="G506" s="355"/>
    </row>
    <row r="507" spans="1:8" x14ac:dyDescent="0.25">
      <c r="A507" s="123" t="s">
        <v>279</v>
      </c>
      <c r="B507" s="123" t="str">
        <f t="shared" si="21"/>
        <v>FRIEDOLSHEIM</v>
      </c>
      <c r="C507" s="342" t="str">
        <f t="shared" si="22"/>
        <v>dalle basse RDC</v>
      </c>
      <c r="D507" s="117"/>
      <c r="E507" s="348"/>
      <c r="F507" s="349"/>
      <c r="G507" s="355"/>
    </row>
    <row r="508" spans="1:8" x14ac:dyDescent="0.25">
      <c r="A508" s="116" t="s">
        <v>179</v>
      </c>
      <c r="B508" s="116" t="str">
        <f t="shared" si="21"/>
        <v>GERTSHEIM</v>
      </c>
      <c r="C508" s="342" t="str">
        <f t="shared" si="22"/>
        <v>à receptionner</v>
      </c>
      <c r="D508" s="117"/>
      <c r="E508" s="348"/>
      <c r="F508" s="349"/>
      <c r="G508" s="355"/>
    </row>
    <row r="509" spans="1:8" x14ac:dyDescent="0.25">
      <c r="A509" s="123" t="s">
        <v>197</v>
      </c>
      <c r="B509" s="123" t="str">
        <f t="shared" si="21"/>
        <v>STRASBOURG</v>
      </c>
      <c r="C509" s="342" t="str">
        <f t="shared" si="22"/>
        <v>chape s42</v>
      </c>
      <c r="D509" s="117"/>
      <c r="E509" s="348"/>
      <c r="F509" s="349"/>
      <c r="G509" s="355"/>
    </row>
    <row r="510" spans="1:8" x14ac:dyDescent="0.25">
      <c r="A510" s="116" t="s">
        <v>280</v>
      </c>
      <c r="B510" s="116" t="str">
        <f t="shared" si="21"/>
        <v>HENGWILLER</v>
      </c>
      <c r="C510" s="342" t="str">
        <f t="shared" si="22"/>
        <v>soubassement</v>
      </c>
      <c r="D510" s="117" t="s">
        <v>331</v>
      </c>
      <c r="E510" s="348">
        <v>47</v>
      </c>
      <c r="F510" s="349"/>
      <c r="G510" s="355"/>
    </row>
    <row r="511" spans="1:8" x14ac:dyDescent="0.25">
      <c r="A511" s="116" t="s">
        <v>198</v>
      </c>
      <c r="B511" s="116" t="str">
        <f t="shared" si="21"/>
        <v>HANGENBIENTEN</v>
      </c>
      <c r="C511" s="342" t="str">
        <f t="shared" ref="C511:C530" si="23">C466</f>
        <v>dalle basse RDC</v>
      </c>
      <c r="D511" s="117"/>
      <c r="E511" s="348"/>
      <c r="F511" s="349"/>
      <c r="G511" s="355"/>
    </row>
    <row r="512" spans="1:8" x14ac:dyDescent="0.25">
      <c r="A512" s="116" t="s">
        <v>281</v>
      </c>
      <c r="B512" s="116" t="str">
        <f t="shared" si="21"/>
        <v>OBERHOFFEN</v>
      </c>
      <c r="C512" s="342" t="str">
        <f t="shared" si="23"/>
        <v>dalle basse RDC</v>
      </c>
      <c r="D512" s="117" t="s">
        <v>331</v>
      </c>
      <c r="E512" s="348">
        <v>47</v>
      </c>
      <c r="F512" s="349"/>
      <c r="G512" s="355"/>
    </row>
    <row r="513" spans="1:7" x14ac:dyDescent="0.25">
      <c r="A513" s="116" t="s">
        <v>199</v>
      </c>
      <c r="B513" s="116" t="str">
        <f t="shared" si="21"/>
        <v>EBERSHEIM</v>
      </c>
      <c r="C513" s="342" t="str">
        <f t="shared" si="23"/>
        <v>couvert</v>
      </c>
      <c r="D513" s="117"/>
      <c r="E513" s="348"/>
      <c r="F513" s="349"/>
      <c r="G513" s="355"/>
    </row>
    <row r="514" spans="1:7" x14ac:dyDescent="0.25">
      <c r="A514" s="116" t="s">
        <v>256</v>
      </c>
      <c r="B514" s="116" t="str">
        <f t="shared" si="21"/>
        <v>DINSHEIM S/ BRUCHE</v>
      </c>
      <c r="C514" s="342" t="str">
        <f t="shared" si="23"/>
        <v>GO fini</v>
      </c>
      <c r="D514" s="123"/>
      <c r="E514" s="348"/>
      <c r="F514" s="349"/>
      <c r="G514" s="355"/>
    </row>
    <row r="515" spans="1:7" x14ac:dyDescent="0.25">
      <c r="A515" s="116" t="s">
        <v>357</v>
      </c>
      <c r="B515" s="116" t="str">
        <f t="shared" si="21"/>
        <v>MOLSHEIM</v>
      </c>
      <c r="C515" s="342" t="str">
        <f t="shared" si="23"/>
        <v>marchés en cours</v>
      </c>
      <c r="D515" s="117"/>
      <c r="E515" s="348"/>
      <c r="F515" s="349"/>
      <c r="G515" s="355"/>
    </row>
    <row r="516" spans="1:7" x14ac:dyDescent="0.25">
      <c r="A516" s="116" t="s">
        <v>200</v>
      </c>
      <c r="B516" s="116" t="str">
        <f t="shared" si="21"/>
        <v>KLEINFRANKENHEIM</v>
      </c>
      <c r="C516" s="342" t="str">
        <f t="shared" si="23"/>
        <v>second œuvre en cours charge client</v>
      </c>
      <c r="D516" s="117"/>
      <c r="E516" s="348"/>
      <c r="F516" s="349"/>
      <c r="G516" s="355"/>
    </row>
    <row r="517" spans="1:7" x14ac:dyDescent="0.25">
      <c r="A517" s="116" t="s">
        <v>161</v>
      </c>
      <c r="B517" s="116" t="str">
        <f t="shared" si="21"/>
        <v>HANGENBIENTEN</v>
      </c>
      <c r="C517" s="342" t="str">
        <f t="shared" si="23"/>
        <v>chape</v>
      </c>
      <c r="D517" s="117"/>
      <c r="E517" s="348"/>
      <c r="F517" s="349"/>
      <c r="G517" s="355"/>
    </row>
    <row r="518" spans="1:7" x14ac:dyDescent="0.25">
      <c r="A518" s="116" t="s">
        <v>185</v>
      </c>
      <c r="B518" s="116" t="str">
        <f t="shared" si="21"/>
        <v>PETERSBACH</v>
      </c>
      <c r="C518" s="342" t="str">
        <f t="shared" si="23"/>
        <v>couvert</v>
      </c>
      <c r="D518" s="117"/>
      <c r="E518" s="348"/>
      <c r="F518" s="349"/>
      <c r="G518" s="355"/>
    </row>
    <row r="519" spans="1:7" x14ac:dyDescent="0.25">
      <c r="A519" s="116" t="s">
        <v>162</v>
      </c>
      <c r="B519" s="116" t="str">
        <f t="shared" si="21"/>
        <v>ENTZHEIM</v>
      </c>
      <c r="C519" s="342" t="str">
        <f t="shared" si="23"/>
        <v>chape</v>
      </c>
      <c r="D519" s="117"/>
      <c r="E519" s="348"/>
      <c r="F519" s="349"/>
      <c r="G519" s="355" t="s">
        <v>215</v>
      </c>
    </row>
    <row r="520" spans="1:7" x14ac:dyDescent="0.25">
      <c r="A520" s="116" t="s">
        <v>152</v>
      </c>
      <c r="B520" s="116" t="str">
        <f t="shared" si="21"/>
        <v>KILSTETT</v>
      </c>
      <c r="C520" s="342" t="str">
        <f t="shared" si="23"/>
        <v>chantier en arrêt</v>
      </c>
      <c r="D520" s="117"/>
      <c r="E520" s="348"/>
      <c r="F520" s="349"/>
      <c r="G520" s="355"/>
    </row>
    <row r="521" spans="1:7" x14ac:dyDescent="0.25">
      <c r="A521" s="116" t="s">
        <v>218</v>
      </c>
      <c r="B521" s="116" t="str">
        <f t="shared" si="21"/>
        <v>ESCHBACH</v>
      </c>
      <c r="C521" s="342" t="str">
        <f t="shared" si="23"/>
        <v>couvert</v>
      </c>
      <c r="D521" s="117"/>
      <c r="E521" s="348"/>
      <c r="F521" s="349"/>
      <c r="G521" s="355"/>
    </row>
    <row r="522" spans="1:7" x14ac:dyDescent="0.25">
      <c r="A522" s="116" t="s">
        <v>163</v>
      </c>
      <c r="B522" s="116" t="str">
        <f t="shared" si="21"/>
        <v>BISCHWILLER</v>
      </c>
      <c r="C522" s="342" t="str">
        <f t="shared" si="23"/>
        <v>chape s42</v>
      </c>
      <c r="D522" s="117"/>
      <c r="E522" s="348"/>
      <c r="F522" s="349"/>
      <c r="G522" s="355"/>
    </row>
    <row r="523" spans="1:7" x14ac:dyDescent="0.25">
      <c r="A523" s="116" t="s">
        <v>153</v>
      </c>
      <c r="B523" s="116" t="str">
        <f t="shared" si="21"/>
        <v>PFETTISHEIM</v>
      </c>
      <c r="C523" s="342" t="str">
        <f t="shared" si="23"/>
        <v>à receptionner</v>
      </c>
      <c r="D523" s="117"/>
      <c r="E523" s="348"/>
      <c r="F523" s="349"/>
      <c r="G523" s="355"/>
    </row>
    <row r="524" spans="1:7" x14ac:dyDescent="0.25">
      <c r="A524" s="116" t="s">
        <v>201</v>
      </c>
      <c r="B524" s="116" t="str">
        <f t="shared" si="21"/>
        <v>KINDWILLER</v>
      </c>
      <c r="C524" s="342" t="str">
        <f t="shared" si="23"/>
        <v>clos couvert</v>
      </c>
      <c r="D524" s="117"/>
      <c r="E524" s="348"/>
      <c r="F524" s="349"/>
      <c r="G524" s="355"/>
    </row>
    <row r="525" spans="1:7" x14ac:dyDescent="0.25">
      <c r="A525" s="136" t="s">
        <v>180</v>
      </c>
      <c r="B525" s="136" t="str">
        <f t="shared" si="21"/>
        <v>KILSTETT</v>
      </c>
      <c r="C525" s="343" t="str">
        <f t="shared" si="23"/>
        <v>chape s42</v>
      </c>
      <c r="D525" s="137"/>
      <c r="E525" s="348"/>
      <c r="F525" s="349"/>
      <c r="G525" s="355"/>
    </row>
    <row r="526" spans="1:7" x14ac:dyDescent="0.25">
      <c r="A526" s="136" t="s">
        <v>214</v>
      </c>
      <c r="B526" s="136" t="str">
        <f t="shared" si="21"/>
        <v>BUST</v>
      </c>
      <c r="C526" s="137" t="str">
        <f t="shared" si="23"/>
        <v>couvert</v>
      </c>
      <c r="D526" s="137"/>
      <c r="E526" s="348"/>
      <c r="F526" s="349"/>
      <c r="G526" s="355"/>
    </row>
    <row r="527" spans="1:7" x14ac:dyDescent="0.25">
      <c r="A527" s="160" t="s">
        <v>202</v>
      </c>
      <c r="B527" s="160" t="str">
        <f t="shared" si="21"/>
        <v>LUTZELHOUSE</v>
      </c>
      <c r="C527" s="343" t="str">
        <f t="shared" si="23"/>
        <v>charpente</v>
      </c>
      <c r="D527" s="343" t="s">
        <v>331</v>
      </c>
      <c r="E527" s="348">
        <v>48</v>
      </c>
      <c r="F527" s="348"/>
      <c r="G527" s="356"/>
    </row>
    <row r="528" spans="1:7" x14ac:dyDescent="0.25">
      <c r="A528" s="160" t="s">
        <v>282</v>
      </c>
      <c r="B528" s="160" t="str">
        <f t="shared" si="21"/>
        <v>BREUSCHWICKERSHEIM</v>
      </c>
      <c r="C528" s="343" t="str">
        <f t="shared" si="23"/>
        <v>fondations</v>
      </c>
      <c r="D528" s="343"/>
      <c r="E528" s="348"/>
      <c r="F528" s="348"/>
      <c r="G528" s="356"/>
    </row>
    <row r="529" spans="1:8" x14ac:dyDescent="0.25">
      <c r="A529" s="160" t="s">
        <v>363</v>
      </c>
      <c r="B529" s="160" t="str">
        <f t="shared" si="21"/>
        <v>GAMBSHEIM</v>
      </c>
      <c r="C529" s="343" t="str">
        <f t="shared" si="23"/>
        <v>marchés en cours</v>
      </c>
      <c r="D529" s="343"/>
      <c r="E529" s="348"/>
      <c r="F529" s="348"/>
      <c r="G529" s="356"/>
    </row>
    <row r="530" spans="1:8" x14ac:dyDescent="0.25">
      <c r="A530" s="160" t="s">
        <v>364</v>
      </c>
      <c r="B530" s="160" t="str">
        <f t="shared" si="21"/>
        <v>OBERLAUTERBACH</v>
      </c>
      <c r="C530" s="343" t="str">
        <f t="shared" si="23"/>
        <v>marchés S43</v>
      </c>
      <c r="D530" s="343" t="s">
        <v>331</v>
      </c>
      <c r="E530" s="348">
        <v>44</v>
      </c>
      <c r="F530" s="348"/>
      <c r="G530" s="356"/>
    </row>
    <row r="531" spans="1:8" x14ac:dyDescent="0.25">
      <c r="A531" s="160" t="s">
        <v>181</v>
      </c>
      <c r="B531" s="161" t="str">
        <f t="shared" si="21"/>
        <v>OBERMODERN-ZUTZENDORF</v>
      </c>
      <c r="C531" s="343" t="str">
        <f>C486</f>
        <v>chape s41</v>
      </c>
      <c r="D531" s="343"/>
      <c r="E531" s="348"/>
      <c r="F531" s="348"/>
      <c r="G531" s="356"/>
    </row>
    <row r="532" spans="1:8" x14ac:dyDescent="0.25">
      <c r="A532" s="160" t="s">
        <v>164</v>
      </c>
      <c r="B532" s="161" t="str">
        <f t="shared" si="21"/>
        <v>WILDERSBACH</v>
      </c>
      <c r="C532" s="343" t="str">
        <f>C487</f>
        <v>à receptionner</v>
      </c>
      <c r="D532" s="343"/>
      <c r="E532" s="348"/>
      <c r="F532" s="348"/>
      <c r="G532" s="356"/>
    </row>
    <row r="533" spans="1:8" x14ac:dyDescent="0.25">
      <c r="A533" s="160" t="s">
        <v>248</v>
      </c>
      <c r="B533" s="161" t="str">
        <f t="shared" si="21"/>
        <v>AVENHEIM</v>
      </c>
      <c r="C533" s="343" t="str">
        <f>C488</f>
        <v>dalle basse RDC</v>
      </c>
      <c r="D533" s="343"/>
      <c r="E533" s="348"/>
      <c r="F533" s="348"/>
      <c r="G533" s="356"/>
    </row>
    <row r="534" spans="1:8" x14ac:dyDescent="0.25">
      <c r="A534" s="160"/>
      <c r="B534" s="343"/>
      <c r="C534" s="343"/>
      <c r="D534" s="148"/>
      <c r="E534" s="348"/>
      <c r="F534" s="348"/>
    </row>
    <row r="538" spans="1:8" x14ac:dyDescent="0.25">
      <c r="A538" s="407" t="s">
        <v>373</v>
      </c>
      <c r="B538" s="407"/>
      <c r="C538" s="407"/>
      <c r="D538" s="407"/>
      <c r="E538" s="407"/>
      <c r="F538" s="407"/>
      <c r="G538" s="407"/>
    </row>
    <row r="539" spans="1:8" ht="15.75" thickBot="1" x14ac:dyDescent="0.3">
      <c r="A539" s="407" t="s">
        <v>374</v>
      </c>
      <c r="B539" s="407"/>
      <c r="C539" s="407"/>
      <c r="D539" s="407"/>
      <c r="E539" s="407"/>
      <c r="F539" s="407"/>
      <c r="G539" s="407"/>
    </row>
    <row r="540" spans="1:8" ht="15" customHeight="1" x14ac:dyDescent="0.25">
      <c r="C540" s="401" t="s">
        <v>80</v>
      </c>
      <c r="D540" s="402"/>
    </row>
    <row r="541" spans="1:8" ht="6.75" customHeight="1" x14ac:dyDescent="0.25">
      <c r="C541" s="403"/>
      <c r="D541" s="404"/>
    </row>
    <row r="542" spans="1:8" ht="27" customHeight="1" thickBot="1" x14ac:dyDescent="0.3">
      <c r="C542" s="405"/>
      <c r="D542" s="406"/>
    </row>
    <row r="543" spans="1:8" ht="27" customHeight="1" thickBot="1" x14ac:dyDescent="0.3">
      <c r="C543" s="121" t="s">
        <v>1</v>
      </c>
      <c r="D543" s="113">
        <f ca="1">D363</f>
        <v>41</v>
      </c>
    </row>
    <row r="544" spans="1:8" ht="15" customHeight="1" x14ac:dyDescent="0.25">
      <c r="C544" s="121"/>
      <c r="H544" s="119"/>
    </row>
    <row r="545" spans="1:7" ht="10.5" customHeight="1" x14ac:dyDescent="0.25">
      <c r="C545" s="109"/>
      <c r="D545" s="109"/>
      <c r="E545" s="348"/>
      <c r="F545" s="348"/>
    </row>
    <row r="546" spans="1:7" ht="21.75" customHeight="1" x14ac:dyDescent="0.4">
      <c r="B546" s="114" t="s">
        <v>77</v>
      </c>
      <c r="C546" s="114" t="s">
        <v>208</v>
      </c>
      <c r="D546" s="342" t="s">
        <v>240</v>
      </c>
      <c r="E546" s="141"/>
      <c r="F546" s="348"/>
    </row>
    <row r="547" spans="1:7" ht="16.5" customHeight="1" x14ac:dyDescent="0.3">
      <c r="C547" s="110"/>
      <c r="D547" s="109"/>
      <c r="E547" s="348"/>
      <c r="F547" s="348"/>
    </row>
    <row r="548" spans="1:7" s="138" customFormat="1" ht="16.5" customHeight="1" x14ac:dyDescent="0.25">
      <c r="A548" s="369" t="s">
        <v>78</v>
      </c>
      <c r="B548" s="369" t="s">
        <v>294</v>
      </c>
      <c r="C548" s="141" t="s">
        <v>79</v>
      </c>
      <c r="D548" s="112" t="s">
        <v>375</v>
      </c>
      <c r="E548" s="348" t="s">
        <v>352</v>
      </c>
      <c r="F548" s="348" t="s">
        <v>369</v>
      </c>
      <c r="G548" s="141" t="s">
        <v>126</v>
      </c>
    </row>
    <row r="549" spans="1:7" ht="16.5" customHeight="1" x14ac:dyDescent="0.25">
      <c r="A549" s="111" t="s">
        <v>213</v>
      </c>
      <c r="B549" s="111" t="str">
        <f t="shared" ref="B549:B578" si="24">B10</f>
        <v>PFETTISHEIM</v>
      </c>
      <c r="C549" s="342" t="str">
        <f t="shared" ref="C549:C555" si="25">C504</f>
        <v>pignons</v>
      </c>
      <c r="D549" s="115"/>
      <c r="E549" s="348"/>
      <c r="F549" s="348"/>
      <c r="G549" s="354"/>
    </row>
    <row r="550" spans="1:7" x14ac:dyDescent="0.25">
      <c r="A550" s="116" t="s">
        <v>278</v>
      </c>
      <c r="B550" s="116" t="str">
        <f t="shared" si="24"/>
        <v>BLIENSCHWILLER</v>
      </c>
      <c r="C550" s="342" t="str">
        <f t="shared" si="25"/>
        <v>fondations</v>
      </c>
      <c r="D550" s="117"/>
      <c r="E550" s="348"/>
      <c r="F550" s="349"/>
      <c r="G550" s="355"/>
    </row>
    <row r="551" spans="1:7" x14ac:dyDescent="0.25">
      <c r="A551" s="116" t="s">
        <v>259</v>
      </c>
      <c r="B551" s="116" t="str">
        <f t="shared" si="24"/>
        <v>BERSTHEIM</v>
      </c>
      <c r="C551" s="342" t="str">
        <f t="shared" si="25"/>
        <v>dalle basse RDC</v>
      </c>
      <c r="D551" s="117"/>
      <c r="E551" s="348"/>
      <c r="F551" s="349"/>
      <c r="G551" s="355"/>
    </row>
    <row r="552" spans="1:7" x14ac:dyDescent="0.25">
      <c r="A552" s="116" t="s">
        <v>279</v>
      </c>
      <c r="B552" s="116" t="str">
        <f t="shared" si="24"/>
        <v>FRIEDOLSHEIM</v>
      </c>
      <c r="C552" s="342" t="str">
        <f t="shared" si="25"/>
        <v>dalle basse RDC</v>
      </c>
      <c r="D552" s="117"/>
      <c r="E552" s="348"/>
      <c r="F552" s="349"/>
      <c r="G552" s="355"/>
    </row>
    <row r="553" spans="1:7" x14ac:dyDescent="0.25">
      <c r="A553" s="116" t="s">
        <v>179</v>
      </c>
      <c r="B553" s="116" t="str">
        <f t="shared" si="24"/>
        <v>GERTSHEIM</v>
      </c>
      <c r="C553" s="342" t="str">
        <f t="shared" si="25"/>
        <v>à receptionner</v>
      </c>
      <c r="D553" s="117"/>
      <c r="E553" s="348"/>
      <c r="F553" s="349"/>
      <c r="G553" s="355"/>
    </row>
    <row r="554" spans="1:7" x14ac:dyDescent="0.25">
      <c r="A554" s="116" t="s">
        <v>197</v>
      </c>
      <c r="B554" s="116" t="str">
        <f t="shared" si="24"/>
        <v>STRASBOURG</v>
      </c>
      <c r="C554" s="342" t="str">
        <f t="shared" si="25"/>
        <v>chape s42</v>
      </c>
      <c r="D554" s="117"/>
      <c r="E554" s="348"/>
      <c r="F554" s="349"/>
      <c r="G554" s="355"/>
    </row>
    <row r="555" spans="1:7" x14ac:dyDescent="0.25">
      <c r="A555" s="116" t="s">
        <v>280</v>
      </c>
      <c r="B555" s="116" t="str">
        <f t="shared" si="24"/>
        <v>HENGWILLER</v>
      </c>
      <c r="C555" s="342" t="str">
        <f t="shared" si="25"/>
        <v>soubassement</v>
      </c>
      <c r="D555" s="117"/>
      <c r="E555" s="348"/>
      <c r="F555" s="349"/>
      <c r="G555" s="355"/>
    </row>
    <row r="556" spans="1:7" x14ac:dyDescent="0.25">
      <c r="A556" s="116" t="s">
        <v>198</v>
      </c>
      <c r="B556" s="116" t="str">
        <f t="shared" si="24"/>
        <v>HANGENBIENTEN</v>
      </c>
      <c r="C556" s="342" t="str">
        <f t="shared" ref="C556:C575" si="26">C511</f>
        <v>dalle basse RDC</v>
      </c>
      <c r="D556" s="117"/>
      <c r="E556" s="348"/>
      <c r="F556" s="349"/>
      <c r="G556" s="355"/>
    </row>
    <row r="557" spans="1:7" x14ac:dyDescent="0.25">
      <c r="A557" s="116" t="s">
        <v>281</v>
      </c>
      <c r="B557" s="116" t="str">
        <f t="shared" si="24"/>
        <v>OBERHOFFEN</v>
      </c>
      <c r="C557" s="342" t="str">
        <f t="shared" si="26"/>
        <v>dalle basse RDC</v>
      </c>
      <c r="D557" s="117"/>
      <c r="E557" s="348"/>
      <c r="F557" s="349"/>
      <c r="G557" s="355"/>
    </row>
    <row r="558" spans="1:7" x14ac:dyDescent="0.25">
      <c r="A558" s="116" t="s">
        <v>199</v>
      </c>
      <c r="B558" s="116" t="str">
        <f t="shared" si="24"/>
        <v>EBERSHEIM</v>
      </c>
      <c r="C558" s="342" t="str">
        <f t="shared" si="26"/>
        <v>couvert</v>
      </c>
      <c r="D558" s="117"/>
      <c r="E558" s="348"/>
      <c r="F558" s="349"/>
      <c r="G558" s="355"/>
    </row>
    <row r="559" spans="1:7" x14ac:dyDescent="0.25">
      <c r="A559" s="116" t="s">
        <v>256</v>
      </c>
      <c r="B559" s="116" t="str">
        <f t="shared" si="24"/>
        <v>DINSHEIM S/ BRUCHE</v>
      </c>
      <c r="C559" s="342" t="str">
        <f t="shared" si="26"/>
        <v>GO fini</v>
      </c>
      <c r="D559" s="117"/>
      <c r="E559" s="348"/>
      <c r="F559" s="349"/>
      <c r="G559" s="355"/>
    </row>
    <row r="560" spans="1:7" x14ac:dyDescent="0.25">
      <c r="A560" s="116" t="s">
        <v>357</v>
      </c>
      <c r="B560" s="116" t="str">
        <f t="shared" si="24"/>
        <v>MOLSHEIM</v>
      </c>
      <c r="C560" s="342" t="str">
        <f t="shared" si="26"/>
        <v>marchés en cours</v>
      </c>
      <c r="D560" s="117"/>
      <c r="E560" s="348"/>
      <c r="F560" s="349"/>
      <c r="G560" s="355"/>
    </row>
    <row r="561" spans="1:7" x14ac:dyDescent="0.25">
      <c r="A561" s="116" t="s">
        <v>200</v>
      </c>
      <c r="B561" s="116" t="str">
        <f t="shared" si="24"/>
        <v>KLEINFRANKENHEIM</v>
      </c>
      <c r="C561" s="342" t="str">
        <f t="shared" si="26"/>
        <v>second œuvre en cours charge client</v>
      </c>
      <c r="D561" s="117"/>
      <c r="E561" s="348"/>
      <c r="F561" s="349"/>
      <c r="G561" s="355"/>
    </row>
    <row r="562" spans="1:7" x14ac:dyDescent="0.25">
      <c r="A562" s="116" t="s">
        <v>161</v>
      </c>
      <c r="B562" s="116" t="str">
        <f t="shared" si="24"/>
        <v>HANGENBIENTEN</v>
      </c>
      <c r="C562" s="342" t="str">
        <f t="shared" si="26"/>
        <v>chape</v>
      </c>
      <c r="D562" s="117"/>
      <c r="E562" s="348"/>
      <c r="F562" s="349"/>
      <c r="G562" s="355"/>
    </row>
    <row r="563" spans="1:7" x14ac:dyDescent="0.25">
      <c r="A563" s="116" t="s">
        <v>185</v>
      </c>
      <c r="B563" s="116" t="str">
        <f t="shared" si="24"/>
        <v>PETERSBACH</v>
      </c>
      <c r="C563" s="342" t="str">
        <f t="shared" si="26"/>
        <v>couvert</v>
      </c>
      <c r="D563" s="117"/>
      <c r="E563" s="348"/>
      <c r="F563" s="349"/>
      <c r="G563" s="355"/>
    </row>
    <row r="564" spans="1:7" x14ac:dyDescent="0.25">
      <c r="A564" s="116" t="s">
        <v>162</v>
      </c>
      <c r="B564" s="116" t="str">
        <f t="shared" si="24"/>
        <v>ENTZHEIM</v>
      </c>
      <c r="C564" s="342" t="str">
        <f t="shared" si="26"/>
        <v>chape</v>
      </c>
      <c r="D564" s="117"/>
      <c r="E564" s="348"/>
      <c r="F564" s="349"/>
      <c r="G564" s="355"/>
    </row>
    <row r="565" spans="1:7" x14ac:dyDescent="0.25">
      <c r="A565" s="116" t="s">
        <v>152</v>
      </c>
      <c r="B565" s="116" t="str">
        <f t="shared" si="24"/>
        <v>KILSTETT</v>
      </c>
      <c r="C565" s="342" t="str">
        <f t="shared" si="26"/>
        <v>chantier en arrêt</v>
      </c>
      <c r="D565" s="117"/>
      <c r="E565" s="348"/>
      <c r="F565" s="349"/>
      <c r="G565" s="355"/>
    </row>
    <row r="566" spans="1:7" x14ac:dyDescent="0.25">
      <c r="A566" s="116" t="s">
        <v>218</v>
      </c>
      <c r="B566" s="116" t="str">
        <f t="shared" si="24"/>
        <v>ESCHBACH</v>
      </c>
      <c r="C566" s="342" t="str">
        <f t="shared" si="26"/>
        <v>couvert</v>
      </c>
      <c r="D566" s="117"/>
      <c r="E566" s="348"/>
      <c r="F566" s="349"/>
      <c r="G566" s="162"/>
    </row>
    <row r="567" spans="1:7" x14ac:dyDescent="0.25">
      <c r="A567" s="116" t="s">
        <v>163</v>
      </c>
      <c r="B567" s="116" t="str">
        <f t="shared" si="24"/>
        <v>BISCHWILLER</v>
      </c>
      <c r="C567" s="342" t="str">
        <f t="shared" si="26"/>
        <v>chape s42</v>
      </c>
      <c r="D567" s="117"/>
      <c r="E567" s="348"/>
      <c r="F567" s="349"/>
      <c r="G567" s="355"/>
    </row>
    <row r="568" spans="1:7" x14ac:dyDescent="0.25">
      <c r="A568" s="116" t="s">
        <v>153</v>
      </c>
      <c r="B568" s="116" t="str">
        <f t="shared" si="24"/>
        <v>PFETTISHEIM</v>
      </c>
      <c r="C568" s="342" t="str">
        <f t="shared" si="26"/>
        <v>à receptionner</v>
      </c>
      <c r="D568" s="117"/>
      <c r="E568" s="348"/>
      <c r="F568" s="349"/>
      <c r="G568" s="355"/>
    </row>
    <row r="569" spans="1:7" x14ac:dyDescent="0.25">
      <c r="A569" s="116" t="s">
        <v>201</v>
      </c>
      <c r="B569" s="116" t="str">
        <f t="shared" si="24"/>
        <v>KINDWILLER</v>
      </c>
      <c r="C569" s="342" t="str">
        <f t="shared" si="26"/>
        <v>clos couvert</v>
      </c>
      <c r="D569" s="117"/>
      <c r="E569" s="348"/>
      <c r="F569" s="349"/>
      <c r="G569" s="355"/>
    </row>
    <row r="570" spans="1:7" x14ac:dyDescent="0.25">
      <c r="A570" s="136" t="s">
        <v>180</v>
      </c>
      <c r="B570" s="136" t="str">
        <f t="shared" si="24"/>
        <v>KILSTETT</v>
      </c>
      <c r="C570" s="343" t="str">
        <f t="shared" si="26"/>
        <v>chape s42</v>
      </c>
      <c r="D570" s="137"/>
      <c r="E570" s="348"/>
      <c r="F570" s="349"/>
      <c r="G570" s="355"/>
    </row>
    <row r="571" spans="1:7" x14ac:dyDescent="0.25">
      <c r="A571" s="136" t="s">
        <v>214</v>
      </c>
      <c r="B571" s="136" t="str">
        <f t="shared" si="24"/>
        <v>BUST</v>
      </c>
      <c r="C571" s="137" t="str">
        <f t="shared" si="26"/>
        <v>couvert</v>
      </c>
      <c r="D571" s="137"/>
      <c r="E571" s="348"/>
      <c r="F571" s="349"/>
      <c r="G571" s="355"/>
    </row>
    <row r="572" spans="1:7" x14ac:dyDescent="0.25">
      <c r="A572" s="160" t="s">
        <v>202</v>
      </c>
      <c r="B572" s="160" t="str">
        <f t="shared" si="24"/>
        <v>LUTZELHOUSE</v>
      </c>
      <c r="C572" s="343" t="str">
        <f t="shared" si="26"/>
        <v>charpente</v>
      </c>
      <c r="D572" s="343"/>
      <c r="E572" s="348"/>
      <c r="F572" s="348"/>
      <c r="G572" s="356"/>
    </row>
    <row r="573" spans="1:7" x14ac:dyDescent="0.25">
      <c r="A573" s="160" t="s">
        <v>282</v>
      </c>
      <c r="B573" s="160" t="str">
        <f t="shared" si="24"/>
        <v>BREUSCHWICKERSHEIM</v>
      </c>
      <c r="C573" s="343" t="str">
        <f t="shared" si="26"/>
        <v>fondations</v>
      </c>
      <c r="D573" s="343" t="s">
        <v>333</v>
      </c>
      <c r="E573" s="348" t="s">
        <v>7</v>
      </c>
      <c r="F573" s="348"/>
      <c r="G573" s="356" t="s">
        <v>335</v>
      </c>
    </row>
    <row r="574" spans="1:7" x14ac:dyDescent="0.25">
      <c r="A574" s="160" t="s">
        <v>363</v>
      </c>
      <c r="B574" s="160" t="str">
        <f t="shared" si="24"/>
        <v>GAMBSHEIM</v>
      </c>
      <c r="C574" s="343" t="str">
        <f t="shared" si="26"/>
        <v>marchés en cours</v>
      </c>
      <c r="D574" s="343"/>
      <c r="E574" s="348"/>
      <c r="F574" s="348"/>
      <c r="G574" s="356"/>
    </row>
    <row r="575" spans="1:7" x14ac:dyDescent="0.25">
      <c r="A575" s="160" t="s">
        <v>364</v>
      </c>
      <c r="B575" s="160" t="str">
        <f t="shared" si="24"/>
        <v>OBERLAUTERBACH</v>
      </c>
      <c r="C575" s="343" t="str">
        <f t="shared" si="26"/>
        <v>marchés S43</v>
      </c>
      <c r="D575" s="343"/>
      <c r="E575" s="348"/>
      <c r="F575" s="348"/>
      <c r="G575" s="356"/>
    </row>
    <row r="576" spans="1:7" x14ac:dyDescent="0.25">
      <c r="A576" s="160" t="s">
        <v>181</v>
      </c>
      <c r="B576" s="161" t="str">
        <f t="shared" si="24"/>
        <v>OBERMODERN-ZUTZENDORF</v>
      </c>
      <c r="C576" s="343" t="str">
        <f>C531</f>
        <v>chape s41</v>
      </c>
      <c r="D576" s="343"/>
      <c r="E576" s="348"/>
      <c r="F576" s="348"/>
      <c r="G576" s="356"/>
    </row>
    <row r="577" spans="1:8" x14ac:dyDescent="0.25">
      <c r="A577" s="160" t="s">
        <v>164</v>
      </c>
      <c r="B577" s="161" t="str">
        <f t="shared" si="24"/>
        <v>WILDERSBACH</v>
      </c>
      <c r="C577" s="343" t="str">
        <f>C532</f>
        <v>à receptionner</v>
      </c>
      <c r="D577" s="343"/>
      <c r="E577" s="348"/>
      <c r="F577" s="348"/>
      <c r="G577" s="356"/>
    </row>
    <row r="578" spans="1:8" x14ac:dyDescent="0.25">
      <c r="A578" s="160" t="s">
        <v>248</v>
      </c>
      <c r="B578" s="161" t="str">
        <f t="shared" si="24"/>
        <v>AVENHEIM</v>
      </c>
      <c r="C578" s="343" t="str">
        <f>C533</f>
        <v>dalle basse RDC</v>
      </c>
      <c r="D578" s="343" t="s">
        <v>334</v>
      </c>
      <c r="E578" s="348" t="s">
        <v>7</v>
      </c>
      <c r="F578" s="348"/>
      <c r="G578" s="356" t="s">
        <v>335</v>
      </c>
    </row>
    <row r="579" spans="1:8" x14ac:dyDescent="0.25">
      <c r="A579" s="160"/>
      <c r="B579" s="343"/>
      <c r="C579" s="343"/>
      <c r="D579" s="148"/>
      <c r="E579" s="348"/>
      <c r="F579" s="348"/>
    </row>
    <row r="583" spans="1:8" x14ac:dyDescent="0.25">
      <c r="A583" s="407" t="s">
        <v>373</v>
      </c>
      <c r="B583" s="407"/>
      <c r="C583" s="407"/>
      <c r="D583" s="407"/>
      <c r="E583" s="407"/>
      <c r="F583" s="407"/>
      <c r="G583" s="407"/>
    </row>
    <row r="584" spans="1:8" ht="15.75" thickBot="1" x14ac:dyDescent="0.3">
      <c r="A584" s="407" t="s">
        <v>374</v>
      </c>
      <c r="B584" s="407"/>
      <c r="C584" s="407"/>
      <c r="D584" s="407"/>
      <c r="E584" s="407"/>
      <c r="F584" s="407"/>
      <c r="G584" s="407"/>
    </row>
    <row r="585" spans="1:8" ht="15" customHeight="1" x14ac:dyDescent="0.25">
      <c r="C585" s="401" t="s">
        <v>80</v>
      </c>
      <c r="D585" s="402"/>
    </row>
    <row r="586" spans="1:8" ht="6.75" customHeight="1" x14ac:dyDescent="0.25">
      <c r="C586" s="403"/>
      <c r="D586" s="404"/>
    </row>
    <row r="587" spans="1:8" ht="27" customHeight="1" thickBot="1" x14ac:dyDescent="0.3">
      <c r="C587" s="405"/>
      <c r="D587" s="406"/>
    </row>
    <row r="588" spans="1:8" ht="27" customHeight="1" thickBot="1" x14ac:dyDescent="0.3">
      <c r="C588" s="121" t="s">
        <v>1</v>
      </c>
      <c r="D588" s="113">
        <f ca="1">D408</f>
        <v>41</v>
      </c>
    </row>
    <row r="589" spans="1:8" ht="15" customHeight="1" x14ac:dyDescent="0.25">
      <c r="C589" s="121"/>
      <c r="H589" s="119"/>
    </row>
    <row r="590" spans="1:8" ht="10.5" customHeight="1" x14ac:dyDescent="0.25">
      <c r="C590" s="109"/>
      <c r="D590" s="109"/>
      <c r="E590" s="348"/>
      <c r="F590" s="348"/>
    </row>
    <row r="591" spans="1:8" ht="21.75" customHeight="1" x14ac:dyDescent="0.4">
      <c r="B591" s="114" t="s">
        <v>77</v>
      </c>
      <c r="C591" s="114" t="s">
        <v>204</v>
      </c>
      <c r="D591" s="342" t="s">
        <v>205</v>
      </c>
      <c r="E591" s="141"/>
      <c r="F591" s="348"/>
    </row>
    <row r="592" spans="1:8" ht="16.5" customHeight="1" x14ac:dyDescent="0.3">
      <c r="C592" s="110"/>
      <c r="D592" s="109"/>
      <c r="E592" s="348"/>
      <c r="F592" s="348"/>
    </row>
    <row r="593" spans="1:7" s="138" customFormat="1" ht="16.5" customHeight="1" x14ac:dyDescent="0.25">
      <c r="A593" s="369" t="s">
        <v>78</v>
      </c>
      <c r="B593" s="369" t="s">
        <v>294</v>
      </c>
      <c r="C593" s="141" t="s">
        <v>79</v>
      </c>
      <c r="D593" s="112" t="s">
        <v>375</v>
      </c>
      <c r="E593" s="348" t="s">
        <v>352</v>
      </c>
      <c r="F593" s="348" t="s">
        <v>369</v>
      </c>
      <c r="G593" s="141" t="s">
        <v>126</v>
      </c>
    </row>
    <row r="594" spans="1:7" ht="16.5" customHeight="1" x14ac:dyDescent="0.25">
      <c r="A594" s="111" t="s">
        <v>213</v>
      </c>
      <c r="B594" s="111" t="str">
        <f t="shared" ref="B594:B623" si="27">B10</f>
        <v>PFETTISHEIM</v>
      </c>
      <c r="C594" s="342" t="str">
        <f t="shared" ref="C594:C620" si="28">C549</f>
        <v>pignons</v>
      </c>
      <c r="D594" s="140"/>
      <c r="E594" s="348"/>
      <c r="F594" s="348"/>
      <c r="G594" s="354"/>
    </row>
    <row r="595" spans="1:7" x14ac:dyDescent="0.25">
      <c r="A595" s="116" t="s">
        <v>278</v>
      </c>
      <c r="B595" s="116" t="str">
        <f t="shared" si="27"/>
        <v>BLIENSCHWILLER</v>
      </c>
      <c r="C595" s="342" t="str">
        <f t="shared" si="28"/>
        <v>fondations</v>
      </c>
      <c r="D595" s="117"/>
      <c r="E595" s="348"/>
      <c r="F595" s="349"/>
      <c r="G595" s="355"/>
    </row>
    <row r="596" spans="1:7" x14ac:dyDescent="0.25">
      <c r="A596" s="116" t="s">
        <v>259</v>
      </c>
      <c r="B596" s="116" t="str">
        <f t="shared" si="27"/>
        <v>BERSTHEIM</v>
      </c>
      <c r="C596" s="342" t="str">
        <f t="shared" si="28"/>
        <v>dalle basse RDC</v>
      </c>
      <c r="D596" s="117"/>
      <c r="E596" s="348"/>
      <c r="F596" s="349"/>
      <c r="G596" s="355"/>
    </row>
    <row r="597" spans="1:7" x14ac:dyDescent="0.25">
      <c r="A597" s="116" t="s">
        <v>279</v>
      </c>
      <c r="B597" s="116" t="str">
        <f t="shared" si="27"/>
        <v>FRIEDOLSHEIM</v>
      </c>
      <c r="C597" s="342" t="str">
        <f t="shared" si="28"/>
        <v>dalle basse RDC</v>
      </c>
      <c r="D597" s="117"/>
      <c r="E597" s="348"/>
      <c r="F597" s="349"/>
      <c r="G597" s="355"/>
    </row>
    <row r="598" spans="1:7" x14ac:dyDescent="0.25">
      <c r="A598" s="116" t="s">
        <v>179</v>
      </c>
      <c r="B598" s="116" t="str">
        <f t="shared" si="27"/>
        <v>GERTSHEIM</v>
      </c>
      <c r="C598" s="342" t="str">
        <f t="shared" si="28"/>
        <v>à receptionner</v>
      </c>
      <c r="D598" s="117"/>
      <c r="E598" s="348"/>
      <c r="F598" s="349"/>
      <c r="G598" s="355"/>
    </row>
    <row r="599" spans="1:7" x14ac:dyDescent="0.25">
      <c r="A599" s="116" t="s">
        <v>197</v>
      </c>
      <c r="B599" s="116" t="str">
        <f t="shared" si="27"/>
        <v>STRASBOURG</v>
      </c>
      <c r="C599" s="342" t="str">
        <f t="shared" si="28"/>
        <v>chape s42</v>
      </c>
      <c r="D599" s="117"/>
      <c r="E599" s="348"/>
      <c r="F599" s="349"/>
      <c r="G599" s="355"/>
    </row>
    <row r="600" spans="1:7" x14ac:dyDescent="0.25">
      <c r="A600" s="116" t="s">
        <v>280</v>
      </c>
      <c r="B600" s="116" t="str">
        <f t="shared" si="27"/>
        <v>HENGWILLER</v>
      </c>
      <c r="C600" s="342" t="str">
        <f t="shared" si="28"/>
        <v>soubassement</v>
      </c>
      <c r="D600" s="117"/>
      <c r="E600" s="348"/>
      <c r="F600" s="349"/>
      <c r="G600" s="355"/>
    </row>
    <row r="601" spans="1:7" x14ac:dyDescent="0.25">
      <c r="A601" s="116" t="s">
        <v>198</v>
      </c>
      <c r="B601" s="116" t="str">
        <f t="shared" si="27"/>
        <v>HANGENBIENTEN</v>
      </c>
      <c r="C601" s="342" t="str">
        <f t="shared" si="28"/>
        <v>dalle basse RDC</v>
      </c>
      <c r="D601" s="117"/>
      <c r="E601" s="348"/>
      <c r="F601" s="349"/>
      <c r="G601" s="355"/>
    </row>
    <row r="602" spans="1:7" x14ac:dyDescent="0.25">
      <c r="A602" s="116" t="s">
        <v>281</v>
      </c>
      <c r="B602" s="116" t="str">
        <f t="shared" si="27"/>
        <v>OBERHOFFEN</v>
      </c>
      <c r="C602" s="342" t="str">
        <f t="shared" si="28"/>
        <v>dalle basse RDC</v>
      </c>
      <c r="D602" s="117" t="s">
        <v>290</v>
      </c>
      <c r="E602" s="348" t="s">
        <v>7</v>
      </c>
      <c r="F602" s="349"/>
      <c r="G602" s="355" t="s">
        <v>336</v>
      </c>
    </row>
    <row r="603" spans="1:7" x14ac:dyDescent="0.25">
      <c r="A603" s="116" t="s">
        <v>199</v>
      </c>
      <c r="B603" s="116" t="str">
        <f t="shared" si="27"/>
        <v>EBERSHEIM</v>
      </c>
      <c r="C603" s="342" t="str">
        <f t="shared" si="28"/>
        <v>couvert</v>
      </c>
      <c r="D603" s="117"/>
      <c r="E603" s="348"/>
      <c r="F603" s="349"/>
      <c r="G603" s="355"/>
    </row>
    <row r="604" spans="1:7" x14ac:dyDescent="0.25">
      <c r="A604" s="116" t="s">
        <v>256</v>
      </c>
      <c r="B604" s="116" t="str">
        <f t="shared" si="27"/>
        <v>DINSHEIM S/ BRUCHE</v>
      </c>
      <c r="C604" s="342" t="str">
        <f t="shared" si="28"/>
        <v>GO fini</v>
      </c>
      <c r="D604" s="117"/>
      <c r="E604" s="348"/>
      <c r="F604" s="349"/>
      <c r="G604" s="355"/>
    </row>
    <row r="605" spans="1:7" x14ac:dyDescent="0.25">
      <c r="A605" s="116" t="s">
        <v>357</v>
      </c>
      <c r="B605" s="116" t="str">
        <f t="shared" si="27"/>
        <v>MOLSHEIM</v>
      </c>
      <c r="C605" s="342" t="str">
        <f t="shared" si="28"/>
        <v>marchés en cours</v>
      </c>
      <c r="D605" s="117"/>
      <c r="E605" s="348"/>
      <c r="F605" s="349"/>
      <c r="G605" s="355"/>
    </row>
    <row r="606" spans="1:7" x14ac:dyDescent="0.25">
      <c r="A606" s="116" t="s">
        <v>200</v>
      </c>
      <c r="B606" s="116" t="str">
        <f t="shared" si="27"/>
        <v>KLEINFRANKENHEIM</v>
      </c>
      <c r="C606" s="342" t="str">
        <f t="shared" si="28"/>
        <v>second œuvre en cours charge client</v>
      </c>
      <c r="D606" s="117"/>
      <c r="E606" s="348"/>
      <c r="F606" s="349"/>
      <c r="G606" s="355"/>
    </row>
    <row r="607" spans="1:7" x14ac:dyDescent="0.25">
      <c r="A607" s="116" t="s">
        <v>161</v>
      </c>
      <c r="B607" s="116" t="str">
        <f t="shared" si="27"/>
        <v>HANGENBIENTEN</v>
      </c>
      <c r="C607" s="342" t="str">
        <f t="shared" si="28"/>
        <v>chape</v>
      </c>
      <c r="D607" s="117"/>
      <c r="E607" s="348"/>
      <c r="F607" s="349"/>
      <c r="G607" s="355"/>
    </row>
    <row r="608" spans="1:7" x14ac:dyDescent="0.25">
      <c r="A608" s="116" t="s">
        <v>185</v>
      </c>
      <c r="B608" s="116" t="str">
        <f t="shared" si="27"/>
        <v>PETERSBACH</v>
      </c>
      <c r="C608" s="342" t="str">
        <f t="shared" si="28"/>
        <v>couvert</v>
      </c>
      <c r="D608" s="117"/>
      <c r="E608" s="348"/>
      <c r="F608" s="349"/>
      <c r="G608" s="355"/>
    </row>
    <row r="609" spans="1:7" x14ac:dyDescent="0.25">
      <c r="A609" s="116" t="s">
        <v>162</v>
      </c>
      <c r="B609" s="116" t="str">
        <f t="shared" si="27"/>
        <v>ENTZHEIM</v>
      </c>
      <c r="C609" s="342" t="str">
        <f t="shared" si="28"/>
        <v>chape</v>
      </c>
      <c r="D609" s="117"/>
      <c r="E609" s="348"/>
      <c r="F609" s="349"/>
      <c r="G609" s="355"/>
    </row>
    <row r="610" spans="1:7" x14ac:dyDescent="0.25">
      <c r="A610" s="116" t="s">
        <v>152</v>
      </c>
      <c r="B610" s="116" t="str">
        <f t="shared" si="27"/>
        <v>KILSTETT</v>
      </c>
      <c r="C610" s="342" t="str">
        <f t="shared" si="28"/>
        <v>chantier en arrêt</v>
      </c>
      <c r="D610" s="117"/>
      <c r="E610" s="348"/>
      <c r="F610" s="349"/>
      <c r="G610" s="355"/>
    </row>
    <row r="611" spans="1:7" x14ac:dyDescent="0.25">
      <c r="A611" s="116" t="s">
        <v>218</v>
      </c>
      <c r="B611" s="116" t="str">
        <f t="shared" si="27"/>
        <v>ESCHBACH</v>
      </c>
      <c r="C611" s="342" t="str">
        <f t="shared" si="28"/>
        <v>couvert</v>
      </c>
      <c r="D611" s="117"/>
      <c r="E611" s="348"/>
      <c r="F611" s="349"/>
      <c r="G611" s="355"/>
    </row>
    <row r="612" spans="1:7" x14ac:dyDescent="0.25">
      <c r="A612" s="116" t="s">
        <v>163</v>
      </c>
      <c r="B612" s="116" t="str">
        <f t="shared" si="27"/>
        <v>BISCHWILLER</v>
      </c>
      <c r="C612" s="342" t="str">
        <f t="shared" si="28"/>
        <v>chape s42</v>
      </c>
      <c r="D612" s="117"/>
      <c r="E612" s="348"/>
      <c r="F612" s="349"/>
      <c r="G612" s="355"/>
    </row>
    <row r="613" spans="1:7" x14ac:dyDescent="0.25">
      <c r="A613" s="116" t="s">
        <v>153</v>
      </c>
      <c r="B613" s="116" t="str">
        <f t="shared" si="27"/>
        <v>PFETTISHEIM</v>
      </c>
      <c r="C613" s="342" t="str">
        <f t="shared" si="28"/>
        <v>à receptionner</v>
      </c>
      <c r="D613" s="117"/>
      <c r="E613" s="348"/>
      <c r="F613" s="349"/>
      <c r="G613" s="355"/>
    </row>
    <row r="614" spans="1:7" x14ac:dyDescent="0.25">
      <c r="A614" s="116" t="s">
        <v>201</v>
      </c>
      <c r="B614" s="116" t="str">
        <f t="shared" si="27"/>
        <v>KINDWILLER</v>
      </c>
      <c r="C614" s="342" t="str">
        <f t="shared" si="28"/>
        <v>clos couvert</v>
      </c>
      <c r="D614" s="343"/>
      <c r="E614" s="348"/>
      <c r="F614" s="348"/>
      <c r="G614" s="355"/>
    </row>
    <row r="615" spans="1:7" x14ac:dyDescent="0.25">
      <c r="A615" s="136" t="s">
        <v>180</v>
      </c>
      <c r="B615" s="136" t="str">
        <f t="shared" si="27"/>
        <v>KILSTETT</v>
      </c>
      <c r="C615" s="343" t="str">
        <f t="shared" si="28"/>
        <v>chape s42</v>
      </c>
      <c r="D615" s="117"/>
      <c r="E615" s="348"/>
      <c r="F615" s="349"/>
      <c r="G615" s="355"/>
    </row>
    <row r="616" spans="1:7" x14ac:dyDescent="0.25">
      <c r="A616" s="136" t="s">
        <v>214</v>
      </c>
      <c r="B616" s="136" t="str">
        <f t="shared" si="27"/>
        <v>BUST</v>
      </c>
      <c r="C616" s="137" t="str">
        <f t="shared" si="28"/>
        <v>couvert</v>
      </c>
      <c r="D616" s="137" t="s">
        <v>264</v>
      </c>
      <c r="E616" s="348">
        <v>41</v>
      </c>
      <c r="F616" s="349"/>
      <c r="G616" s="355" t="s">
        <v>337</v>
      </c>
    </row>
    <row r="617" spans="1:7" x14ac:dyDescent="0.25">
      <c r="A617" s="160" t="s">
        <v>202</v>
      </c>
      <c r="B617" s="160" t="str">
        <f t="shared" si="27"/>
        <v>LUTZELHOUSE</v>
      </c>
      <c r="C617" s="343" t="str">
        <f t="shared" si="28"/>
        <v>charpente</v>
      </c>
      <c r="D617" s="343"/>
      <c r="E617" s="348"/>
      <c r="F617" s="348"/>
      <c r="G617" s="356"/>
    </row>
    <row r="618" spans="1:7" x14ac:dyDescent="0.25">
      <c r="A618" s="160" t="s">
        <v>282</v>
      </c>
      <c r="B618" s="160" t="str">
        <f t="shared" si="27"/>
        <v>BREUSCHWICKERSHEIM</v>
      </c>
      <c r="C618" s="343" t="str">
        <f t="shared" si="28"/>
        <v>fondations</v>
      </c>
      <c r="D618" s="343"/>
      <c r="E618" s="348"/>
      <c r="F618" s="348"/>
      <c r="G618" s="356"/>
    </row>
    <row r="619" spans="1:7" x14ac:dyDescent="0.25">
      <c r="A619" s="160" t="s">
        <v>363</v>
      </c>
      <c r="B619" s="160" t="str">
        <f t="shared" si="27"/>
        <v>GAMBSHEIM</v>
      </c>
      <c r="C619" s="343" t="str">
        <f t="shared" si="28"/>
        <v>marchés en cours</v>
      </c>
      <c r="D619" s="343"/>
      <c r="E619" s="348"/>
      <c r="F619" s="348"/>
      <c r="G619" s="356"/>
    </row>
    <row r="620" spans="1:7" x14ac:dyDescent="0.25">
      <c r="A620" s="160" t="s">
        <v>364</v>
      </c>
      <c r="B620" s="160" t="str">
        <f t="shared" si="27"/>
        <v>OBERLAUTERBACH</v>
      </c>
      <c r="C620" s="343" t="str">
        <f t="shared" si="28"/>
        <v>marchés S43</v>
      </c>
      <c r="D620" s="343"/>
      <c r="E620" s="348"/>
      <c r="F620" s="348"/>
      <c r="G620" s="356"/>
    </row>
    <row r="621" spans="1:7" x14ac:dyDescent="0.25">
      <c r="A621" s="160" t="s">
        <v>181</v>
      </c>
      <c r="B621" s="161" t="str">
        <f t="shared" si="27"/>
        <v>OBERMODERN-ZUTZENDORF</v>
      </c>
      <c r="C621" s="343" t="str">
        <f>C576</f>
        <v>chape s41</v>
      </c>
      <c r="D621" s="343"/>
      <c r="E621" s="348"/>
      <c r="F621" s="348"/>
      <c r="G621" s="356"/>
    </row>
    <row r="622" spans="1:7" x14ac:dyDescent="0.25">
      <c r="A622" s="160" t="s">
        <v>164</v>
      </c>
      <c r="B622" s="161" t="str">
        <f t="shared" si="27"/>
        <v>WILDERSBACH</v>
      </c>
      <c r="C622" s="343" t="str">
        <f>C577</f>
        <v>à receptionner</v>
      </c>
      <c r="D622" s="343"/>
      <c r="E622" s="348"/>
      <c r="F622" s="348"/>
      <c r="G622" s="356"/>
    </row>
    <row r="623" spans="1:7" x14ac:dyDescent="0.25">
      <c r="A623" s="160" t="s">
        <v>248</v>
      </c>
      <c r="B623" s="161" t="str">
        <f t="shared" si="27"/>
        <v>AVENHEIM</v>
      </c>
      <c r="C623" s="343" t="str">
        <f>C578</f>
        <v>dalle basse RDC</v>
      </c>
      <c r="D623" s="343"/>
      <c r="E623" s="348"/>
      <c r="F623" s="348"/>
      <c r="G623" s="356"/>
    </row>
    <row r="624" spans="1:7" x14ac:dyDescent="0.25">
      <c r="A624" s="160"/>
      <c r="B624" s="343"/>
      <c r="C624" s="343"/>
      <c r="D624" s="148"/>
      <c r="E624" s="348"/>
      <c r="F624" s="348"/>
    </row>
    <row r="628" spans="1:8" x14ac:dyDescent="0.25">
      <c r="A628" s="407" t="s">
        <v>373</v>
      </c>
      <c r="B628" s="407"/>
      <c r="C628" s="407"/>
      <c r="D628" s="407"/>
      <c r="E628" s="407"/>
      <c r="F628" s="407"/>
      <c r="G628" s="407"/>
    </row>
    <row r="629" spans="1:8" ht="15.75" thickBot="1" x14ac:dyDescent="0.3">
      <c r="A629" s="407" t="s">
        <v>374</v>
      </c>
      <c r="B629" s="407"/>
      <c r="C629" s="407"/>
      <c r="D629" s="407"/>
      <c r="E629" s="407"/>
      <c r="F629" s="407"/>
      <c r="G629" s="407"/>
    </row>
    <row r="630" spans="1:8" ht="15" customHeight="1" x14ac:dyDescent="0.25">
      <c r="C630" s="401" t="s">
        <v>80</v>
      </c>
      <c r="D630" s="402"/>
    </row>
    <row r="631" spans="1:8" ht="6.75" customHeight="1" x14ac:dyDescent="0.25">
      <c r="C631" s="403"/>
      <c r="D631" s="404"/>
    </row>
    <row r="632" spans="1:8" ht="27" customHeight="1" thickBot="1" x14ac:dyDescent="0.3">
      <c r="C632" s="405"/>
      <c r="D632" s="406"/>
    </row>
    <row r="633" spans="1:8" ht="27" customHeight="1" thickBot="1" x14ac:dyDescent="0.3">
      <c r="C633" s="121" t="s">
        <v>1</v>
      </c>
      <c r="D633" s="113">
        <f ca="1">D453</f>
        <v>41</v>
      </c>
    </row>
    <row r="634" spans="1:8" ht="15" customHeight="1" x14ac:dyDescent="0.25">
      <c r="C634" s="121"/>
      <c r="H634" s="119"/>
    </row>
    <row r="635" spans="1:8" ht="10.5" customHeight="1" x14ac:dyDescent="0.25">
      <c r="C635" s="109"/>
      <c r="D635" s="109"/>
      <c r="E635" s="348"/>
      <c r="F635" s="348"/>
    </row>
    <row r="636" spans="1:8" ht="21.75" customHeight="1" x14ac:dyDescent="0.4">
      <c r="B636" s="114" t="s">
        <v>77</v>
      </c>
      <c r="C636" s="114" t="s">
        <v>50</v>
      </c>
      <c r="D636" s="342" t="s">
        <v>93</v>
      </c>
      <c r="E636" s="141"/>
      <c r="F636" s="348"/>
    </row>
    <row r="637" spans="1:8" ht="16.5" customHeight="1" x14ac:dyDescent="0.3">
      <c r="C637" s="110"/>
      <c r="D637" s="109"/>
      <c r="E637" s="348"/>
      <c r="F637" s="348"/>
    </row>
    <row r="638" spans="1:8" s="138" customFormat="1" ht="16.5" customHeight="1" x14ac:dyDescent="0.25">
      <c r="A638" s="369" t="s">
        <v>78</v>
      </c>
      <c r="B638" s="369" t="s">
        <v>294</v>
      </c>
      <c r="C638" s="141" t="s">
        <v>79</v>
      </c>
      <c r="D638" s="112" t="s">
        <v>375</v>
      </c>
      <c r="E638" s="348" t="s">
        <v>352</v>
      </c>
      <c r="F638" s="348" t="s">
        <v>369</v>
      </c>
      <c r="G638" s="141" t="s">
        <v>126</v>
      </c>
    </row>
    <row r="639" spans="1:8" ht="16.5" customHeight="1" x14ac:dyDescent="0.25">
      <c r="A639" s="111" t="s">
        <v>213</v>
      </c>
      <c r="B639" s="111" t="str">
        <f t="shared" ref="B639:B668" si="29">B10</f>
        <v>PFETTISHEIM</v>
      </c>
      <c r="C639" s="342" t="str">
        <f t="shared" ref="C639:C665" si="30">C594</f>
        <v>pignons</v>
      </c>
      <c r="D639" s="140"/>
      <c r="E639" s="349"/>
      <c r="F639" s="348"/>
      <c r="G639" s="354"/>
    </row>
    <row r="640" spans="1:8" x14ac:dyDescent="0.25">
      <c r="A640" s="123" t="s">
        <v>278</v>
      </c>
      <c r="B640" s="123" t="str">
        <f t="shared" si="29"/>
        <v>BLIENSCHWILLER</v>
      </c>
      <c r="C640" s="342" t="str">
        <f t="shared" si="30"/>
        <v>fondations</v>
      </c>
      <c r="D640" s="117"/>
      <c r="E640" s="349"/>
      <c r="F640" s="349"/>
      <c r="G640" s="355"/>
    </row>
    <row r="641" spans="1:7" x14ac:dyDescent="0.25">
      <c r="A641" s="116" t="s">
        <v>259</v>
      </c>
      <c r="B641" s="116" t="str">
        <f t="shared" si="29"/>
        <v>BERSTHEIM</v>
      </c>
      <c r="C641" s="342" t="str">
        <f t="shared" si="30"/>
        <v>dalle basse RDC</v>
      </c>
      <c r="D641" s="117"/>
      <c r="E641" s="349"/>
      <c r="F641" s="349"/>
      <c r="G641" s="355"/>
    </row>
    <row r="642" spans="1:7" x14ac:dyDescent="0.25">
      <c r="A642" s="116" t="s">
        <v>279</v>
      </c>
      <c r="B642" s="116" t="str">
        <f t="shared" si="29"/>
        <v>FRIEDOLSHEIM</v>
      </c>
      <c r="C642" s="342" t="str">
        <f t="shared" si="30"/>
        <v>dalle basse RDC</v>
      </c>
      <c r="D642" s="117"/>
      <c r="E642" s="349"/>
      <c r="F642" s="349"/>
      <c r="G642" s="355"/>
    </row>
    <row r="643" spans="1:7" x14ac:dyDescent="0.25">
      <c r="A643" s="116" t="s">
        <v>179</v>
      </c>
      <c r="B643" s="116" t="str">
        <f t="shared" si="29"/>
        <v>GERTSHEIM</v>
      </c>
      <c r="C643" s="342" t="str">
        <f t="shared" si="30"/>
        <v>à receptionner</v>
      </c>
      <c r="D643" s="117"/>
      <c r="E643" s="349"/>
      <c r="F643" s="349"/>
      <c r="G643" s="355"/>
    </row>
    <row r="644" spans="1:7" x14ac:dyDescent="0.25">
      <c r="A644" s="116" t="s">
        <v>197</v>
      </c>
      <c r="B644" s="116" t="str">
        <f t="shared" si="29"/>
        <v>STRASBOURG</v>
      </c>
      <c r="C644" s="342" t="str">
        <f t="shared" si="30"/>
        <v>chape s42</v>
      </c>
      <c r="D644" s="117"/>
      <c r="E644" s="349"/>
      <c r="F644" s="349"/>
      <c r="G644" s="355"/>
    </row>
    <row r="645" spans="1:7" x14ac:dyDescent="0.25">
      <c r="A645" s="116" t="s">
        <v>280</v>
      </c>
      <c r="B645" s="116" t="str">
        <f t="shared" si="29"/>
        <v>HENGWILLER</v>
      </c>
      <c r="C645" s="342" t="str">
        <f t="shared" si="30"/>
        <v>soubassement</v>
      </c>
      <c r="D645" s="117" t="s">
        <v>222</v>
      </c>
      <c r="E645" s="349">
        <v>4</v>
      </c>
      <c r="F645" s="349"/>
      <c r="G645" s="355"/>
    </row>
    <row r="646" spans="1:7" x14ac:dyDescent="0.25">
      <c r="A646" s="116" t="s">
        <v>198</v>
      </c>
      <c r="B646" s="116" t="str">
        <f t="shared" si="29"/>
        <v>HANGENBIENTEN</v>
      </c>
      <c r="C646" s="342" t="str">
        <f t="shared" si="30"/>
        <v>dalle basse RDC</v>
      </c>
      <c r="D646" s="117"/>
      <c r="E646" s="349"/>
      <c r="F646" s="349"/>
      <c r="G646" s="355"/>
    </row>
    <row r="647" spans="1:7" x14ac:dyDescent="0.25">
      <c r="A647" s="116" t="s">
        <v>281</v>
      </c>
      <c r="B647" s="116" t="str">
        <f t="shared" si="29"/>
        <v>OBERHOFFEN</v>
      </c>
      <c r="C647" s="342" t="str">
        <f t="shared" si="30"/>
        <v>dalle basse RDC</v>
      </c>
      <c r="D647" s="117"/>
      <c r="E647" s="349"/>
      <c r="F647" s="349"/>
      <c r="G647" s="355"/>
    </row>
    <row r="648" spans="1:7" x14ac:dyDescent="0.25">
      <c r="A648" s="116" t="s">
        <v>199</v>
      </c>
      <c r="B648" s="116" t="str">
        <f t="shared" si="29"/>
        <v>EBERSHEIM</v>
      </c>
      <c r="C648" s="342" t="str">
        <f t="shared" si="30"/>
        <v>couvert</v>
      </c>
      <c r="D648" s="117"/>
      <c r="E648" s="349"/>
      <c r="F648" s="349"/>
      <c r="G648" s="355"/>
    </row>
    <row r="649" spans="1:7" x14ac:dyDescent="0.25">
      <c r="A649" s="123" t="s">
        <v>256</v>
      </c>
      <c r="B649" s="123" t="str">
        <f t="shared" si="29"/>
        <v>DINSHEIM S/ BRUCHE</v>
      </c>
      <c r="C649" s="342" t="str">
        <f t="shared" si="30"/>
        <v>GO fini</v>
      </c>
      <c r="D649" s="117"/>
      <c r="E649" s="349"/>
      <c r="F649" s="349"/>
      <c r="G649" s="355"/>
    </row>
    <row r="650" spans="1:7" x14ac:dyDescent="0.25">
      <c r="A650" s="116" t="s">
        <v>357</v>
      </c>
      <c r="B650" s="116" t="str">
        <f t="shared" si="29"/>
        <v>MOLSHEIM</v>
      </c>
      <c r="C650" s="342" t="str">
        <f t="shared" si="30"/>
        <v>marchés en cours</v>
      </c>
      <c r="D650" s="117"/>
      <c r="E650" s="349"/>
      <c r="F650" s="349"/>
      <c r="G650" s="355"/>
    </row>
    <row r="651" spans="1:7" x14ac:dyDescent="0.25">
      <c r="A651" s="116" t="s">
        <v>200</v>
      </c>
      <c r="B651" s="116" t="str">
        <f t="shared" si="29"/>
        <v>KLEINFRANKENHEIM</v>
      </c>
      <c r="C651" s="342" t="str">
        <f t="shared" si="30"/>
        <v>second œuvre en cours charge client</v>
      </c>
      <c r="D651" s="117"/>
      <c r="E651" s="349"/>
      <c r="F651" s="349"/>
      <c r="G651" s="355"/>
    </row>
    <row r="652" spans="1:7" x14ac:dyDescent="0.25">
      <c r="A652" s="116" t="s">
        <v>161</v>
      </c>
      <c r="B652" s="116" t="str">
        <f t="shared" si="29"/>
        <v>HANGENBIENTEN</v>
      </c>
      <c r="C652" s="342" t="str">
        <f t="shared" si="30"/>
        <v>chape</v>
      </c>
      <c r="D652" s="117"/>
      <c r="E652" s="349"/>
      <c r="F652" s="349"/>
      <c r="G652" s="355"/>
    </row>
    <row r="653" spans="1:7" x14ac:dyDescent="0.25">
      <c r="A653" s="116" t="s">
        <v>185</v>
      </c>
      <c r="B653" s="116" t="str">
        <f t="shared" si="29"/>
        <v>PETERSBACH</v>
      </c>
      <c r="C653" s="342" t="str">
        <f t="shared" si="30"/>
        <v>couvert</v>
      </c>
      <c r="D653" s="117"/>
      <c r="E653" s="349"/>
      <c r="F653" s="349"/>
      <c r="G653" s="355"/>
    </row>
    <row r="654" spans="1:7" x14ac:dyDescent="0.25">
      <c r="A654" s="116" t="s">
        <v>162</v>
      </c>
      <c r="B654" s="116" t="str">
        <f t="shared" si="29"/>
        <v>ENTZHEIM</v>
      </c>
      <c r="C654" s="342" t="str">
        <f t="shared" si="30"/>
        <v>chape</v>
      </c>
      <c r="D654" s="117"/>
      <c r="E654" s="349"/>
      <c r="F654" s="349"/>
      <c r="G654" s="355"/>
    </row>
    <row r="655" spans="1:7" x14ac:dyDescent="0.25">
      <c r="A655" s="116" t="s">
        <v>152</v>
      </c>
      <c r="B655" s="116" t="str">
        <f t="shared" si="29"/>
        <v>KILSTETT</v>
      </c>
      <c r="C655" s="342" t="str">
        <f t="shared" si="30"/>
        <v>chantier en arrêt</v>
      </c>
      <c r="D655" s="117"/>
      <c r="E655" s="349"/>
      <c r="F655" s="349"/>
      <c r="G655" s="355"/>
    </row>
    <row r="656" spans="1:7" x14ac:dyDescent="0.25">
      <c r="A656" s="116" t="s">
        <v>218</v>
      </c>
      <c r="B656" s="116" t="str">
        <f t="shared" si="29"/>
        <v>ESCHBACH</v>
      </c>
      <c r="C656" s="342" t="str">
        <f t="shared" si="30"/>
        <v>couvert</v>
      </c>
      <c r="D656" s="117"/>
      <c r="E656" s="349"/>
      <c r="F656" s="349"/>
      <c r="G656" s="355"/>
    </row>
    <row r="657" spans="1:7" x14ac:dyDescent="0.25">
      <c r="A657" s="116" t="s">
        <v>163</v>
      </c>
      <c r="B657" s="116" t="str">
        <f t="shared" si="29"/>
        <v>BISCHWILLER</v>
      </c>
      <c r="C657" s="342" t="str">
        <f t="shared" si="30"/>
        <v>chape s42</v>
      </c>
      <c r="D657" s="117"/>
      <c r="E657" s="349"/>
      <c r="F657" s="349"/>
      <c r="G657" s="355"/>
    </row>
    <row r="658" spans="1:7" x14ac:dyDescent="0.25">
      <c r="A658" s="116" t="s">
        <v>153</v>
      </c>
      <c r="B658" s="116" t="str">
        <f t="shared" si="29"/>
        <v>PFETTISHEIM</v>
      </c>
      <c r="C658" s="342" t="str">
        <f t="shared" si="30"/>
        <v>à receptionner</v>
      </c>
      <c r="D658" s="117"/>
      <c r="E658" s="349"/>
      <c r="F658" s="349"/>
      <c r="G658" s="355"/>
    </row>
    <row r="659" spans="1:7" x14ac:dyDescent="0.25">
      <c r="A659" s="136" t="s">
        <v>201</v>
      </c>
      <c r="B659" s="136" t="str">
        <f t="shared" si="29"/>
        <v>KINDWILLER</v>
      </c>
      <c r="C659" s="343" t="str">
        <f t="shared" si="30"/>
        <v>clos couvert</v>
      </c>
      <c r="D659" s="137"/>
      <c r="E659" s="349"/>
      <c r="F659" s="349"/>
      <c r="G659" s="355"/>
    </row>
    <row r="660" spans="1:7" x14ac:dyDescent="0.25">
      <c r="A660" s="136" t="s">
        <v>180</v>
      </c>
      <c r="B660" s="136" t="str">
        <f t="shared" si="29"/>
        <v>KILSTETT</v>
      </c>
      <c r="C660" s="343" t="str">
        <f t="shared" si="30"/>
        <v>chape s42</v>
      </c>
      <c r="D660" s="137"/>
      <c r="E660" s="349"/>
      <c r="F660" s="349"/>
      <c r="G660" s="355"/>
    </row>
    <row r="661" spans="1:7" x14ac:dyDescent="0.25">
      <c r="A661" s="136" t="s">
        <v>214</v>
      </c>
      <c r="B661" s="136" t="str">
        <f t="shared" si="29"/>
        <v>BUST</v>
      </c>
      <c r="C661" s="137" t="str">
        <f t="shared" si="30"/>
        <v>couvert</v>
      </c>
      <c r="D661" s="137" t="s">
        <v>222</v>
      </c>
      <c r="E661" s="349">
        <v>48</v>
      </c>
      <c r="F661" s="349"/>
      <c r="G661" s="355"/>
    </row>
    <row r="662" spans="1:7" x14ac:dyDescent="0.25">
      <c r="A662" s="160" t="s">
        <v>202</v>
      </c>
      <c r="B662" s="160" t="str">
        <f t="shared" si="29"/>
        <v>LUTZELHOUSE</v>
      </c>
      <c r="C662" s="343" t="str">
        <f t="shared" si="30"/>
        <v>charpente</v>
      </c>
      <c r="D662" s="343"/>
      <c r="E662" s="349"/>
      <c r="F662" s="348"/>
      <c r="G662" s="356"/>
    </row>
    <row r="663" spans="1:7" x14ac:dyDescent="0.25">
      <c r="A663" s="160" t="s">
        <v>282</v>
      </c>
      <c r="B663" s="160" t="str">
        <f t="shared" si="29"/>
        <v>BREUSCHWICKERSHEIM</v>
      </c>
      <c r="C663" s="343" t="str">
        <f t="shared" si="30"/>
        <v>fondations</v>
      </c>
      <c r="D663" s="343"/>
      <c r="E663" s="349"/>
      <c r="F663" s="348"/>
      <c r="G663" s="356"/>
    </row>
    <row r="664" spans="1:7" x14ac:dyDescent="0.25">
      <c r="A664" s="160" t="s">
        <v>363</v>
      </c>
      <c r="B664" s="160" t="str">
        <f t="shared" si="29"/>
        <v>GAMBSHEIM</v>
      </c>
      <c r="C664" s="343" t="str">
        <f t="shared" si="30"/>
        <v>marchés en cours</v>
      </c>
      <c r="D664" s="343"/>
      <c r="E664" s="349"/>
      <c r="F664" s="348"/>
      <c r="G664" s="356"/>
    </row>
    <row r="665" spans="1:7" x14ac:dyDescent="0.25">
      <c r="A665" s="160" t="s">
        <v>364</v>
      </c>
      <c r="B665" s="160" t="str">
        <f t="shared" si="29"/>
        <v>OBERLAUTERBACH</v>
      </c>
      <c r="C665" s="343" t="str">
        <f t="shared" si="30"/>
        <v>marchés S43</v>
      </c>
      <c r="D665" s="343" t="s">
        <v>222</v>
      </c>
      <c r="E665" s="349">
        <v>50</v>
      </c>
      <c r="F665" s="348"/>
      <c r="G665" s="356"/>
    </row>
    <row r="666" spans="1:7" x14ac:dyDescent="0.25">
      <c r="A666" s="160" t="s">
        <v>181</v>
      </c>
      <c r="B666" s="161" t="str">
        <f t="shared" si="29"/>
        <v>OBERMODERN-ZUTZENDORF</v>
      </c>
      <c r="C666" s="343" t="str">
        <f>C621</f>
        <v>chape s41</v>
      </c>
      <c r="D666" s="343"/>
      <c r="E666" s="348"/>
      <c r="F666" s="348"/>
      <c r="G666" s="356"/>
    </row>
    <row r="667" spans="1:7" x14ac:dyDescent="0.25">
      <c r="A667" s="160" t="s">
        <v>164</v>
      </c>
      <c r="B667" s="161" t="str">
        <f t="shared" si="29"/>
        <v>WILDERSBACH</v>
      </c>
      <c r="C667" s="343" t="str">
        <f>C622</f>
        <v>à receptionner</v>
      </c>
      <c r="D667" s="137"/>
      <c r="E667" s="348"/>
      <c r="F667" s="348"/>
      <c r="G667" s="356"/>
    </row>
    <row r="668" spans="1:7" x14ac:dyDescent="0.25">
      <c r="A668" s="160" t="s">
        <v>248</v>
      </c>
      <c r="B668" s="161" t="str">
        <f t="shared" si="29"/>
        <v>AVENHEIM</v>
      </c>
      <c r="C668" s="343" t="str">
        <f>C623</f>
        <v>dalle basse RDC</v>
      </c>
      <c r="D668" s="343"/>
      <c r="E668" s="348"/>
      <c r="F668" s="348"/>
      <c r="G668" s="356"/>
    </row>
    <row r="669" spans="1:7" x14ac:dyDescent="0.25">
      <c r="A669" s="160"/>
      <c r="B669" s="343"/>
      <c r="C669" s="343"/>
      <c r="D669" s="148"/>
      <c r="E669" s="348"/>
      <c r="F669" s="348"/>
    </row>
    <row r="673" spans="1:8" x14ac:dyDescent="0.25">
      <c r="A673" s="407" t="s">
        <v>373</v>
      </c>
      <c r="B673" s="407"/>
      <c r="C673" s="407"/>
      <c r="D673" s="407"/>
      <c r="E673" s="407"/>
      <c r="F673" s="407"/>
      <c r="G673" s="407"/>
    </row>
    <row r="674" spans="1:8" ht="15.75" thickBot="1" x14ac:dyDescent="0.3">
      <c r="A674" s="407" t="s">
        <v>374</v>
      </c>
      <c r="B674" s="407"/>
      <c r="C674" s="407"/>
      <c r="D674" s="407"/>
      <c r="E674" s="407"/>
      <c r="F674" s="407"/>
      <c r="G674" s="407"/>
    </row>
    <row r="675" spans="1:8" ht="15" customHeight="1" x14ac:dyDescent="0.25">
      <c r="C675" s="401" t="s">
        <v>80</v>
      </c>
      <c r="D675" s="402"/>
    </row>
    <row r="676" spans="1:8" ht="6.75" customHeight="1" x14ac:dyDescent="0.25">
      <c r="C676" s="403"/>
      <c r="D676" s="404"/>
    </row>
    <row r="677" spans="1:8" ht="27" customHeight="1" thickBot="1" x14ac:dyDescent="0.3">
      <c r="C677" s="405"/>
      <c r="D677" s="406"/>
    </row>
    <row r="678" spans="1:8" ht="27" customHeight="1" thickBot="1" x14ac:dyDescent="0.3">
      <c r="C678" s="121" t="s">
        <v>1</v>
      </c>
      <c r="D678" s="113">
        <f ca="1">D498</f>
        <v>41</v>
      </c>
    </row>
    <row r="679" spans="1:8" ht="15" customHeight="1" x14ac:dyDescent="0.25">
      <c r="C679" s="121"/>
      <c r="H679" s="119"/>
    </row>
    <row r="680" spans="1:8" ht="10.5" customHeight="1" x14ac:dyDescent="0.25">
      <c r="C680" s="109"/>
      <c r="D680" s="109"/>
      <c r="E680" s="348"/>
      <c r="F680" s="348"/>
    </row>
    <row r="681" spans="1:8" ht="21.75" customHeight="1" x14ac:dyDescent="0.4">
      <c r="B681" s="114" t="s">
        <v>77</v>
      </c>
      <c r="C681" s="114" t="s">
        <v>209</v>
      </c>
      <c r="D681" s="344" t="s">
        <v>269</v>
      </c>
      <c r="E681" s="141"/>
      <c r="F681" s="348"/>
    </row>
    <row r="682" spans="1:8" ht="16.5" customHeight="1" x14ac:dyDescent="0.3">
      <c r="C682" s="110"/>
      <c r="D682" s="109"/>
      <c r="E682" s="348"/>
      <c r="F682" s="348"/>
    </row>
    <row r="683" spans="1:8" s="138" customFormat="1" ht="16.5" customHeight="1" x14ac:dyDescent="0.25">
      <c r="A683" s="369" t="s">
        <v>78</v>
      </c>
      <c r="B683" s="369" t="s">
        <v>294</v>
      </c>
      <c r="C683" s="141" t="s">
        <v>79</v>
      </c>
      <c r="D683" s="112" t="s">
        <v>375</v>
      </c>
      <c r="E683" s="348" t="s">
        <v>352</v>
      </c>
      <c r="F683" s="348" t="s">
        <v>369</v>
      </c>
      <c r="G683" s="141" t="s">
        <v>126</v>
      </c>
    </row>
    <row r="684" spans="1:8" ht="16.5" customHeight="1" x14ac:dyDescent="0.25">
      <c r="A684" s="111" t="s">
        <v>213</v>
      </c>
      <c r="B684" s="111" t="str">
        <f t="shared" ref="B684:B713" si="31">B10</f>
        <v>PFETTISHEIM</v>
      </c>
      <c r="C684" s="342" t="str">
        <f t="shared" ref="C684:C710" si="32">C639</f>
        <v>pignons</v>
      </c>
      <c r="D684" s="140" t="s">
        <v>338</v>
      </c>
      <c r="E684" s="348">
        <v>43</v>
      </c>
      <c r="F684" s="348"/>
      <c r="G684" s="354" t="s">
        <v>339</v>
      </c>
    </row>
    <row r="685" spans="1:8" x14ac:dyDescent="0.25">
      <c r="A685" s="116" t="s">
        <v>278</v>
      </c>
      <c r="B685" s="116" t="str">
        <f t="shared" si="31"/>
        <v>BLIENSCHWILLER</v>
      </c>
      <c r="C685" s="342" t="str">
        <f t="shared" si="32"/>
        <v>fondations</v>
      </c>
      <c r="D685" s="117" t="s">
        <v>261</v>
      </c>
      <c r="E685" s="348">
        <v>41</v>
      </c>
      <c r="F685" s="349"/>
      <c r="G685" s="355"/>
    </row>
    <row r="686" spans="1:8" x14ac:dyDescent="0.25">
      <c r="A686" s="116" t="s">
        <v>259</v>
      </c>
      <c r="B686" s="116" t="str">
        <f t="shared" si="31"/>
        <v>BERSTHEIM</v>
      </c>
      <c r="C686" s="342" t="str">
        <f t="shared" si="32"/>
        <v>dalle basse RDC</v>
      </c>
      <c r="D686" s="117" t="s">
        <v>334</v>
      </c>
      <c r="E686" s="348">
        <v>42</v>
      </c>
      <c r="F686" s="349"/>
      <c r="G686" s="355"/>
    </row>
    <row r="687" spans="1:8" x14ac:dyDescent="0.25">
      <c r="A687" s="116" t="s">
        <v>279</v>
      </c>
      <c r="B687" s="116" t="str">
        <f t="shared" si="31"/>
        <v>FRIEDOLSHEIM</v>
      </c>
      <c r="C687" s="342" t="str">
        <f t="shared" si="32"/>
        <v>dalle basse RDC</v>
      </c>
      <c r="D687" s="117"/>
      <c r="E687" s="348"/>
      <c r="F687" s="349"/>
      <c r="G687" s="355"/>
    </row>
    <row r="688" spans="1:8" x14ac:dyDescent="0.25">
      <c r="A688" s="116" t="s">
        <v>179</v>
      </c>
      <c r="B688" s="116" t="str">
        <f t="shared" si="31"/>
        <v>GERTSHEIM</v>
      </c>
      <c r="C688" s="342" t="str">
        <f t="shared" si="32"/>
        <v>à receptionner</v>
      </c>
      <c r="D688" s="117"/>
      <c r="E688" s="348"/>
      <c r="F688" s="349"/>
      <c r="G688" s="355"/>
    </row>
    <row r="689" spans="1:7" x14ac:dyDescent="0.25">
      <c r="A689" s="116" t="s">
        <v>197</v>
      </c>
      <c r="B689" s="116" t="str">
        <f t="shared" si="31"/>
        <v>STRASBOURG</v>
      </c>
      <c r="C689" s="342" t="str">
        <f t="shared" si="32"/>
        <v>chape s42</v>
      </c>
      <c r="D689" s="117"/>
      <c r="E689" s="348"/>
      <c r="F689" s="349"/>
      <c r="G689" s="355"/>
    </row>
    <row r="690" spans="1:7" x14ac:dyDescent="0.25">
      <c r="A690" s="116" t="s">
        <v>280</v>
      </c>
      <c r="B690" s="116" t="str">
        <f t="shared" si="31"/>
        <v>HENGWILLER</v>
      </c>
      <c r="C690" s="342" t="str">
        <f t="shared" si="32"/>
        <v>soubassement</v>
      </c>
      <c r="D690" s="117"/>
      <c r="E690" s="348"/>
      <c r="F690" s="349"/>
      <c r="G690" s="355"/>
    </row>
    <row r="691" spans="1:7" x14ac:dyDescent="0.25">
      <c r="A691" s="116" t="s">
        <v>198</v>
      </c>
      <c r="B691" s="116" t="str">
        <f t="shared" si="31"/>
        <v>HANGENBIENTEN</v>
      </c>
      <c r="C691" s="342" t="str">
        <f t="shared" si="32"/>
        <v>dalle basse RDC</v>
      </c>
      <c r="D691" s="117"/>
      <c r="E691" s="348"/>
      <c r="F691" s="349"/>
      <c r="G691" s="355"/>
    </row>
    <row r="692" spans="1:7" x14ac:dyDescent="0.25">
      <c r="A692" s="116" t="s">
        <v>281</v>
      </c>
      <c r="B692" s="116" t="str">
        <f t="shared" si="31"/>
        <v>OBERHOFFEN</v>
      </c>
      <c r="C692" s="342" t="str">
        <f t="shared" si="32"/>
        <v>dalle basse RDC</v>
      </c>
      <c r="D692" s="117"/>
      <c r="E692" s="348"/>
      <c r="F692" s="349"/>
      <c r="G692" s="355"/>
    </row>
    <row r="693" spans="1:7" x14ac:dyDescent="0.25">
      <c r="A693" s="116" t="s">
        <v>199</v>
      </c>
      <c r="B693" s="116" t="str">
        <f t="shared" si="31"/>
        <v>EBERSHEIM</v>
      </c>
      <c r="C693" s="342" t="str">
        <f t="shared" si="32"/>
        <v>couvert</v>
      </c>
      <c r="D693" s="117"/>
      <c r="E693" s="348"/>
      <c r="F693" s="349"/>
      <c r="G693" s="355"/>
    </row>
    <row r="694" spans="1:7" x14ac:dyDescent="0.25">
      <c r="A694" s="116" t="s">
        <v>256</v>
      </c>
      <c r="B694" s="116" t="str">
        <f t="shared" si="31"/>
        <v>DINSHEIM S/ BRUCHE</v>
      </c>
      <c r="C694" s="342" t="str">
        <f t="shared" si="32"/>
        <v>GO fini</v>
      </c>
      <c r="D694" s="117"/>
      <c r="E694" s="348"/>
      <c r="F694" s="349"/>
      <c r="G694" s="355"/>
    </row>
    <row r="695" spans="1:7" x14ac:dyDescent="0.25">
      <c r="A695" s="116" t="s">
        <v>357</v>
      </c>
      <c r="B695" s="116" t="str">
        <f t="shared" si="31"/>
        <v>MOLSHEIM</v>
      </c>
      <c r="C695" s="342" t="str">
        <f t="shared" si="32"/>
        <v>marchés en cours</v>
      </c>
      <c r="D695" s="117"/>
      <c r="E695" s="348"/>
      <c r="F695" s="349"/>
      <c r="G695" s="355"/>
    </row>
    <row r="696" spans="1:7" x14ac:dyDescent="0.25">
      <c r="A696" s="116" t="s">
        <v>200</v>
      </c>
      <c r="B696" s="116" t="str">
        <f t="shared" si="31"/>
        <v>KLEINFRANKENHEIM</v>
      </c>
      <c r="C696" s="342" t="str">
        <f t="shared" si="32"/>
        <v>second œuvre en cours charge client</v>
      </c>
      <c r="D696" s="117"/>
      <c r="E696" s="348"/>
      <c r="F696" s="349"/>
      <c r="G696" s="355"/>
    </row>
    <row r="697" spans="1:7" x14ac:dyDescent="0.25">
      <c r="A697" s="116" t="s">
        <v>161</v>
      </c>
      <c r="B697" s="116" t="str">
        <f t="shared" si="31"/>
        <v>HANGENBIENTEN</v>
      </c>
      <c r="C697" s="342" t="str">
        <f t="shared" si="32"/>
        <v>chape</v>
      </c>
      <c r="D697" s="117"/>
      <c r="E697" s="348"/>
      <c r="F697" s="349"/>
      <c r="G697" s="355"/>
    </row>
    <row r="698" spans="1:7" x14ac:dyDescent="0.25">
      <c r="A698" s="116" t="s">
        <v>185</v>
      </c>
      <c r="B698" s="116" t="str">
        <f t="shared" si="31"/>
        <v>PETERSBACH</v>
      </c>
      <c r="C698" s="342" t="str">
        <f t="shared" si="32"/>
        <v>couvert</v>
      </c>
      <c r="D698" s="117"/>
      <c r="E698" s="348"/>
      <c r="F698" s="349"/>
      <c r="G698" s="355"/>
    </row>
    <row r="699" spans="1:7" x14ac:dyDescent="0.25">
      <c r="A699" s="116" t="s">
        <v>162</v>
      </c>
      <c r="B699" s="116" t="str">
        <f t="shared" si="31"/>
        <v>ENTZHEIM</v>
      </c>
      <c r="C699" s="342" t="str">
        <f t="shared" si="32"/>
        <v>chape</v>
      </c>
      <c r="D699" s="117"/>
      <c r="E699" s="348"/>
      <c r="F699" s="349"/>
      <c r="G699" s="355"/>
    </row>
    <row r="700" spans="1:7" x14ac:dyDescent="0.25">
      <c r="A700" s="116" t="s">
        <v>152</v>
      </c>
      <c r="B700" s="116" t="str">
        <f t="shared" si="31"/>
        <v>KILSTETT</v>
      </c>
      <c r="C700" s="342" t="str">
        <f t="shared" si="32"/>
        <v>chantier en arrêt</v>
      </c>
      <c r="D700" s="117"/>
      <c r="E700" s="348"/>
      <c r="F700" s="349"/>
      <c r="G700" s="355"/>
    </row>
    <row r="701" spans="1:7" x14ac:dyDescent="0.25">
      <c r="A701" s="116" t="s">
        <v>218</v>
      </c>
      <c r="B701" s="116" t="str">
        <f t="shared" si="31"/>
        <v>ESCHBACH</v>
      </c>
      <c r="C701" s="342" t="str">
        <f t="shared" si="32"/>
        <v>couvert</v>
      </c>
      <c r="D701" s="117"/>
      <c r="E701" s="348"/>
      <c r="F701" s="349"/>
      <c r="G701" s="355"/>
    </row>
    <row r="702" spans="1:7" x14ac:dyDescent="0.25">
      <c r="A702" s="116" t="s">
        <v>163</v>
      </c>
      <c r="B702" s="116" t="str">
        <f t="shared" si="31"/>
        <v>BISCHWILLER</v>
      </c>
      <c r="C702" s="342" t="str">
        <f t="shared" si="32"/>
        <v>chape s42</v>
      </c>
      <c r="D702" s="117"/>
      <c r="E702" s="348"/>
      <c r="F702" s="349"/>
      <c r="G702" s="355"/>
    </row>
    <row r="703" spans="1:7" x14ac:dyDescent="0.25">
      <c r="A703" s="116" t="s">
        <v>153</v>
      </c>
      <c r="B703" s="116" t="str">
        <f t="shared" si="31"/>
        <v>PFETTISHEIM</v>
      </c>
      <c r="C703" s="342" t="str">
        <f t="shared" si="32"/>
        <v>à receptionner</v>
      </c>
      <c r="D703" s="117"/>
      <c r="E703" s="348"/>
      <c r="F703" s="349"/>
      <c r="G703" s="355"/>
    </row>
    <row r="704" spans="1:7" x14ac:dyDescent="0.25">
      <c r="A704" s="116" t="s">
        <v>201</v>
      </c>
      <c r="B704" s="116" t="str">
        <f t="shared" si="31"/>
        <v>KINDWILLER</v>
      </c>
      <c r="C704" s="342" t="str">
        <f t="shared" si="32"/>
        <v>clos couvert</v>
      </c>
      <c r="D704" s="117"/>
      <c r="E704" s="348"/>
      <c r="F704" s="349"/>
      <c r="G704" s="355"/>
    </row>
    <row r="705" spans="1:7" x14ac:dyDescent="0.25">
      <c r="A705" s="136" t="s">
        <v>180</v>
      </c>
      <c r="B705" s="136" t="str">
        <f t="shared" si="31"/>
        <v>KILSTETT</v>
      </c>
      <c r="C705" s="343" t="str">
        <f t="shared" si="32"/>
        <v>chape s42</v>
      </c>
      <c r="D705" s="137"/>
      <c r="E705" s="348"/>
      <c r="F705" s="349"/>
      <c r="G705" s="355"/>
    </row>
    <row r="706" spans="1:7" x14ac:dyDescent="0.25">
      <c r="A706" s="136" t="s">
        <v>214</v>
      </c>
      <c r="B706" s="136" t="str">
        <f t="shared" si="31"/>
        <v>BUST</v>
      </c>
      <c r="C706" s="137" t="str">
        <f t="shared" si="32"/>
        <v>couvert</v>
      </c>
      <c r="D706" s="137"/>
      <c r="E706" s="348"/>
      <c r="F706" s="349"/>
      <c r="G706" s="355"/>
    </row>
    <row r="707" spans="1:7" x14ac:dyDescent="0.25">
      <c r="A707" s="160" t="s">
        <v>202</v>
      </c>
      <c r="B707" s="160" t="str">
        <f t="shared" si="31"/>
        <v>LUTZELHOUSE</v>
      </c>
      <c r="C707" s="343" t="str">
        <f t="shared" si="32"/>
        <v>charpente</v>
      </c>
      <c r="D707" s="343"/>
      <c r="E707" s="348"/>
      <c r="F707" s="348"/>
      <c r="G707" s="356"/>
    </row>
    <row r="708" spans="1:7" x14ac:dyDescent="0.25">
      <c r="A708" s="160" t="s">
        <v>282</v>
      </c>
      <c r="B708" s="160" t="str">
        <f t="shared" si="31"/>
        <v>BREUSCHWICKERSHEIM</v>
      </c>
      <c r="C708" s="343" t="str">
        <f t="shared" si="32"/>
        <v>fondations</v>
      </c>
      <c r="D708" s="343"/>
      <c r="E708" s="348"/>
      <c r="F708" s="348"/>
      <c r="G708" s="356"/>
    </row>
    <row r="709" spans="1:7" x14ac:dyDescent="0.25">
      <c r="A709" s="160" t="s">
        <v>363</v>
      </c>
      <c r="B709" s="160" t="str">
        <f t="shared" si="31"/>
        <v>GAMBSHEIM</v>
      </c>
      <c r="C709" s="343" t="str">
        <f t="shared" si="32"/>
        <v>marchés en cours</v>
      </c>
      <c r="D709" s="343"/>
      <c r="E709" s="348"/>
      <c r="F709" s="348"/>
      <c r="G709" s="356"/>
    </row>
    <row r="710" spans="1:7" x14ac:dyDescent="0.25">
      <c r="A710" s="160" t="s">
        <v>364</v>
      </c>
      <c r="B710" s="160" t="str">
        <f t="shared" si="31"/>
        <v>OBERLAUTERBACH</v>
      </c>
      <c r="C710" s="343" t="str">
        <f t="shared" si="32"/>
        <v>marchés S43</v>
      </c>
      <c r="D710" s="343"/>
      <c r="E710" s="348"/>
      <c r="F710" s="348"/>
      <c r="G710" s="356"/>
    </row>
    <row r="711" spans="1:7" x14ac:dyDescent="0.25">
      <c r="A711" s="160" t="s">
        <v>181</v>
      </c>
      <c r="B711" s="161" t="str">
        <f t="shared" si="31"/>
        <v>OBERMODERN-ZUTZENDORF</v>
      </c>
      <c r="C711" s="343" t="str">
        <f>C666</f>
        <v>chape s41</v>
      </c>
      <c r="D711" s="343"/>
      <c r="E711" s="348"/>
      <c r="F711" s="348"/>
      <c r="G711" s="356"/>
    </row>
    <row r="712" spans="1:7" x14ac:dyDescent="0.25">
      <c r="A712" s="160" t="s">
        <v>164</v>
      </c>
      <c r="B712" s="161" t="str">
        <f t="shared" si="31"/>
        <v>WILDERSBACH</v>
      </c>
      <c r="C712" s="343" t="str">
        <f>C667</f>
        <v>à receptionner</v>
      </c>
      <c r="D712" s="343"/>
      <c r="E712" s="348"/>
      <c r="F712" s="348"/>
      <c r="G712" s="356"/>
    </row>
    <row r="713" spans="1:7" x14ac:dyDescent="0.25">
      <c r="A713" s="160" t="s">
        <v>248</v>
      </c>
      <c r="B713" s="161" t="str">
        <f t="shared" si="31"/>
        <v>AVENHEIM</v>
      </c>
      <c r="C713" s="343" t="str">
        <f>C668</f>
        <v>dalle basse RDC</v>
      </c>
      <c r="D713" s="343"/>
      <c r="E713" s="348"/>
      <c r="F713" s="348"/>
      <c r="G713" s="356"/>
    </row>
    <row r="714" spans="1:7" x14ac:dyDescent="0.25">
      <c r="A714" s="160"/>
      <c r="B714" s="343"/>
      <c r="C714" s="343"/>
      <c r="D714" s="148"/>
      <c r="E714" s="348"/>
      <c r="F714" s="348"/>
    </row>
    <row r="718" spans="1:7" x14ac:dyDescent="0.25">
      <c r="A718" s="407" t="s">
        <v>373</v>
      </c>
      <c r="B718" s="407"/>
      <c r="C718" s="407"/>
      <c r="D718" s="407"/>
      <c r="E718" s="407"/>
      <c r="F718" s="407"/>
      <c r="G718" s="407"/>
    </row>
    <row r="719" spans="1:7" ht="15.75" thickBot="1" x14ac:dyDescent="0.3">
      <c r="A719" s="407" t="s">
        <v>374</v>
      </c>
      <c r="B719" s="407"/>
      <c r="C719" s="407"/>
      <c r="D719" s="407"/>
      <c r="E719" s="407"/>
      <c r="F719" s="407"/>
      <c r="G719" s="407"/>
    </row>
    <row r="720" spans="1:7" ht="15" customHeight="1" x14ac:dyDescent="0.25">
      <c r="C720" s="401" t="s">
        <v>80</v>
      </c>
      <c r="D720" s="402"/>
    </row>
    <row r="721" spans="1:8" ht="6.75" customHeight="1" x14ac:dyDescent="0.25">
      <c r="C721" s="403"/>
      <c r="D721" s="404"/>
    </row>
    <row r="722" spans="1:8" ht="27" customHeight="1" thickBot="1" x14ac:dyDescent="0.3">
      <c r="C722" s="405"/>
      <c r="D722" s="406"/>
    </row>
    <row r="723" spans="1:8" ht="27" customHeight="1" thickBot="1" x14ac:dyDescent="0.3">
      <c r="C723" s="121" t="s">
        <v>1</v>
      </c>
      <c r="D723" s="113">
        <f ca="1">D543</f>
        <v>41</v>
      </c>
    </row>
    <row r="724" spans="1:8" ht="15" customHeight="1" x14ac:dyDescent="0.25">
      <c r="C724" s="121"/>
      <c r="H724" s="119"/>
    </row>
    <row r="725" spans="1:8" ht="10.5" customHeight="1" x14ac:dyDescent="0.25">
      <c r="C725" s="109"/>
      <c r="D725" s="109"/>
      <c r="E725" s="348"/>
      <c r="F725" s="348"/>
    </row>
    <row r="726" spans="1:8" ht="21.75" customHeight="1" x14ac:dyDescent="0.4">
      <c r="B726" s="114" t="s">
        <v>77</v>
      </c>
      <c r="C726" s="114" t="s">
        <v>45</v>
      </c>
      <c r="D726" s="342" t="s">
        <v>224</v>
      </c>
      <c r="E726" s="141"/>
      <c r="F726" s="348"/>
    </row>
    <row r="727" spans="1:8" ht="16.5" customHeight="1" x14ac:dyDescent="0.3">
      <c r="C727" s="110"/>
      <c r="D727" s="109"/>
      <c r="E727" s="348"/>
      <c r="F727" s="348"/>
    </row>
    <row r="728" spans="1:8" s="138" customFormat="1" ht="16.5" customHeight="1" x14ac:dyDescent="0.25">
      <c r="A728" s="369" t="s">
        <v>78</v>
      </c>
      <c r="B728" s="369" t="s">
        <v>294</v>
      </c>
      <c r="C728" s="141" t="s">
        <v>79</v>
      </c>
      <c r="D728" s="112" t="s">
        <v>375</v>
      </c>
      <c r="E728" s="348" t="s">
        <v>352</v>
      </c>
      <c r="F728" s="348" t="s">
        <v>369</v>
      </c>
      <c r="G728" s="141" t="s">
        <v>126</v>
      </c>
    </row>
    <row r="729" spans="1:8" ht="16.5" customHeight="1" x14ac:dyDescent="0.25">
      <c r="A729" s="178" t="s">
        <v>213</v>
      </c>
      <c r="B729" s="178" t="str">
        <f t="shared" ref="B729:B758" si="33">B10</f>
        <v>PFETTISHEIM</v>
      </c>
      <c r="C729" s="163" t="str">
        <f t="shared" ref="C729:C758" si="34">C10</f>
        <v>pignons</v>
      </c>
      <c r="D729" s="179" t="s">
        <v>239</v>
      </c>
      <c r="E729" s="351">
        <v>44</v>
      </c>
      <c r="F729" s="351"/>
      <c r="G729" s="365"/>
    </row>
    <row r="730" spans="1:8" x14ac:dyDescent="0.25">
      <c r="A730" s="153" t="s">
        <v>278</v>
      </c>
      <c r="B730" s="153" t="str">
        <f t="shared" si="33"/>
        <v>BLIENSCHWILLER</v>
      </c>
      <c r="C730" s="163" t="str">
        <f t="shared" si="34"/>
        <v>fondations</v>
      </c>
      <c r="D730" s="164" t="s">
        <v>239</v>
      </c>
      <c r="E730" s="352">
        <v>42</v>
      </c>
      <c r="F730" s="352"/>
      <c r="G730" s="363"/>
    </row>
    <row r="731" spans="1:8" x14ac:dyDescent="0.25">
      <c r="A731" s="153" t="s">
        <v>259</v>
      </c>
      <c r="B731" s="153" t="str">
        <f t="shared" si="33"/>
        <v>BERSTHEIM</v>
      </c>
      <c r="C731" s="163" t="str">
        <f t="shared" si="34"/>
        <v>dalle basse RDC</v>
      </c>
      <c r="D731" s="164" t="s">
        <v>239</v>
      </c>
      <c r="E731" s="352">
        <v>50</v>
      </c>
      <c r="F731" s="352"/>
      <c r="G731" s="363"/>
    </row>
    <row r="732" spans="1:8" x14ac:dyDescent="0.25">
      <c r="A732" s="153" t="s">
        <v>279</v>
      </c>
      <c r="B732" s="153" t="str">
        <f t="shared" si="33"/>
        <v>FRIEDOLSHEIM</v>
      </c>
      <c r="C732" s="163" t="str">
        <f t="shared" si="34"/>
        <v>dalle basse RDC</v>
      </c>
      <c r="D732" s="164" t="s">
        <v>239</v>
      </c>
      <c r="E732" s="352">
        <v>48</v>
      </c>
      <c r="F732" s="352"/>
      <c r="G732" s="363"/>
    </row>
    <row r="733" spans="1:8" x14ac:dyDescent="0.25">
      <c r="A733" s="153" t="s">
        <v>179</v>
      </c>
      <c r="B733" s="153" t="str">
        <f t="shared" si="33"/>
        <v>GERTSHEIM</v>
      </c>
      <c r="C733" s="163" t="str">
        <f t="shared" si="34"/>
        <v>à receptionner</v>
      </c>
      <c r="D733" s="164" t="s">
        <v>265</v>
      </c>
      <c r="E733" s="352">
        <v>42</v>
      </c>
      <c r="F733" s="352"/>
      <c r="G733" s="363" t="s">
        <v>340</v>
      </c>
    </row>
    <row r="734" spans="1:8" x14ac:dyDescent="0.25">
      <c r="A734" s="153" t="s">
        <v>197</v>
      </c>
      <c r="B734" s="153" t="str">
        <f t="shared" si="33"/>
        <v>STRASBOURG</v>
      </c>
      <c r="C734" s="163" t="str">
        <f t="shared" si="34"/>
        <v>chape s42</v>
      </c>
      <c r="D734" s="164" t="s">
        <v>265</v>
      </c>
      <c r="E734" s="352">
        <v>45</v>
      </c>
      <c r="F734" s="352"/>
      <c r="G734" s="363"/>
    </row>
    <row r="735" spans="1:8" ht="15" customHeight="1" x14ac:dyDescent="0.25">
      <c r="A735" s="153" t="s">
        <v>280</v>
      </c>
      <c r="B735" s="153" t="str">
        <f t="shared" si="33"/>
        <v>HENGWILLER</v>
      </c>
      <c r="C735" s="163" t="str">
        <f t="shared" si="34"/>
        <v>soubassement</v>
      </c>
      <c r="D735" s="164" t="s">
        <v>239</v>
      </c>
      <c r="E735" s="352">
        <v>51</v>
      </c>
      <c r="F735" s="352"/>
      <c r="G735" s="363"/>
    </row>
    <row r="736" spans="1:8" x14ac:dyDescent="0.25">
      <c r="A736" s="153" t="s">
        <v>198</v>
      </c>
      <c r="B736" s="153" t="str">
        <f t="shared" si="33"/>
        <v>HANGENBIENTEN</v>
      </c>
      <c r="C736" s="163" t="str">
        <f t="shared" si="34"/>
        <v>dalle basse RDC</v>
      </c>
      <c r="D736" s="164" t="s">
        <v>341</v>
      </c>
      <c r="E736" s="352"/>
      <c r="F736" s="352"/>
      <c r="G736" s="363"/>
    </row>
    <row r="737" spans="1:7" x14ac:dyDescent="0.25">
      <c r="A737" s="153" t="s">
        <v>281</v>
      </c>
      <c r="B737" s="153" t="str">
        <f t="shared" si="33"/>
        <v>OBERHOFFEN</v>
      </c>
      <c r="C737" s="163" t="str">
        <f t="shared" si="34"/>
        <v>dalle basse RDC</v>
      </c>
      <c r="D737" s="164" t="s">
        <v>239</v>
      </c>
      <c r="E737" s="352">
        <v>41</v>
      </c>
      <c r="F737" s="352"/>
      <c r="G737" s="363"/>
    </row>
    <row r="738" spans="1:7" x14ac:dyDescent="0.25">
      <c r="A738" s="153" t="s">
        <v>199</v>
      </c>
      <c r="B738" s="153" t="str">
        <f t="shared" si="33"/>
        <v>EBERSHEIM</v>
      </c>
      <c r="C738" s="163" t="str">
        <f t="shared" si="34"/>
        <v>couvert</v>
      </c>
      <c r="D738" s="164" t="s">
        <v>239</v>
      </c>
      <c r="E738" s="352">
        <v>43</v>
      </c>
      <c r="F738" s="352"/>
      <c r="G738" s="366"/>
    </row>
    <row r="739" spans="1:7" x14ac:dyDescent="0.25">
      <c r="A739" s="153" t="s">
        <v>256</v>
      </c>
      <c r="B739" s="153" t="str">
        <f t="shared" si="33"/>
        <v>DINSHEIM S/ BRUCHE</v>
      </c>
      <c r="C739" s="163" t="str">
        <f t="shared" si="34"/>
        <v>GO fini</v>
      </c>
      <c r="D739" s="164" t="s">
        <v>239</v>
      </c>
      <c r="E739" s="352">
        <v>44</v>
      </c>
      <c r="F739" s="352"/>
      <c r="G739" s="363"/>
    </row>
    <row r="740" spans="1:7" x14ac:dyDescent="0.25">
      <c r="A740" s="153" t="s">
        <v>357</v>
      </c>
      <c r="B740" s="153" t="str">
        <f t="shared" si="33"/>
        <v>MOLSHEIM</v>
      </c>
      <c r="C740" s="163" t="str">
        <f t="shared" si="34"/>
        <v>marchés en cours</v>
      </c>
      <c r="D740" s="164"/>
      <c r="E740" s="352"/>
      <c r="F740" s="352"/>
      <c r="G740" s="363"/>
    </row>
    <row r="741" spans="1:7" x14ac:dyDescent="0.25">
      <c r="A741" s="153" t="s">
        <v>200</v>
      </c>
      <c r="B741" s="153" t="str">
        <f t="shared" si="33"/>
        <v>KLEINFRANKENHEIM</v>
      </c>
      <c r="C741" s="163" t="str">
        <f t="shared" si="34"/>
        <v>second œuvre en cours charge client</v>
      </c>
      <c r="D741" s="164" t="s">
        <v>265</v>
      </c>
      <c r="E741" s="352">
        <v>46</v>
      </c>
      <c r="F741" s="352"/>
      <c r="G741" s="363"/>
    </row>
    <row r="742" spans="1:7" x14ac:dyDescent="0.25">
      <c r="A742" s="153" t="s">
        <v>161</v>
      </c>
      <c r="B742" s="153" t="str">
        <f t="shared" si="33"/>
        <v>HANGENBIENTEN</v>
      </c>
      <c r="C742" s="163" t="str">
        <f t="shared" si="34"/>
        <v>chape</v>
      </c>
      <c r="D742" s="164" t="s">
        <v>239</v>
      </c>
      <c r="E742" s="352">
        <v>41</v>
      </c>
      <c r="F742" s="352"/>
      <c r="G742" s="366">
        <v>43383</v>
      </c>
    </row>
    <row r="743" spans="1:7" x14ac:dyDescent="0.25">
      <c r="A743" s="153" t="s">
        <v>185</v>
      </c>
      <c r="B743" s="153" t="str">
        <f t="shared" si="33"/>
        <v>PETERSBACH</v>
      </c>
      <c r="C743" s="163" t="str">
        <f t="shared" si="34"/>
        <v>couvert</v>
      </c>
      <c r="D743" s="164" t="s">
        <v>265</v>
      </c>
      <c r="E743" s="352">
        <v>44</v>
      </c>
      <c r="F743" s="352"/>
      <c r="G743" s="366"/>
    </row>
    <row r="744" spans="1:7" x14ac:dyDescent="0.25">
      <c r="A744" s="153" t="s">
        <v>162</v>
      </c>
      <c r="B744" s="153" t="str">
        <f t="shared" si="33"/>
        <v>ENTZHEIM</v>
      </c>
      <c r="C744" s="163" t="str">
        <f t="shared" si="34"/>
        <v>chape</v>
      </c>
      <c r="D744" s="164"/>
      <c r="E744" s="352"/>
      <c r="F744" s="352"/>
      <c r="G744" s="363" t="s">
        <v>215</v>
      </c>
    </row>
    <row r="745" spans="1:7" x14ac:dyDescent="0.25">
      <c r="A745" s="153" t="s">
        <v>152</v>
      </c>
      <c r="B745" s="153" t="str">
        <f t="shared" si="33"/>
        <v>KILSTETT</v>
      </c>
      <c r="C745" s="163" t="str">
        <f t="shared" si="34"/>
        <v>chantier en arrêt</v>
      </c>
      <c r="D745" s="164"/>
      <c r="E745" s="352"/>
      <c r="F745" s="352"/>
      <c r="G745" s="363"/>
    </row>
    <row r="746" spans="1:7" x14ac:dyDescent="0.25">
      <c r="A746" s="153" t="s">
        <v>218</v>
      </c>
      <c r="B746" s="153" t="str">
        <f t="shared" si="33"/>
        <v>ESCHBACH</v>
      </c>
      <c r="C746" s="163" t="str">
        <f t="shared" si="34"/>
        <v>couvert</v>
      </c>
      <c r="D746" s="164" t="s">
        <v>265</v>
      </c>
      <c r="E746" s="352">
        <v>47</v>
      </c>
      <c r="F746" s="352"/>
      <c r="G746" s="363"/>
    </row>
    <row r="747" spans="1:7" x14ac:dyDescent="0.25">
      <c r="A747" s="153" t="s">
        <v>163</v>
      </c>
      <c r="B747" s="153" t="str">
        <f t="shared" si="33"/>
        <v>BISCHWILLER</v>
      </c>
      <c r="C747" s="163" t="str">
        <f t="shared" si="34"/>
        <v>chape s42</v>
      </c>
      <c r="D747" s="164"/>
      <c r="E747" s="352"/>
      <c r="F747" s="352"/>
      <c r="G747" s="363"/>
    </row>
    <row r="748" spans="1:7" x14ac:dyDescent="0.25">
      <c r="A748" s="153" t="s">
        <v>153</v>
      </c>
      <c r="B748" s="153" t="str">
        <f t="shared" si="33"/>
        <v>PFETTISHEIM</v>
      </c>
      <c r="C748" s="163" t="str">
        <f t="shared" si="34"/>
        <v>à receptionner</v>
      </c>
      <c r="D748" s="164" t="s">
        <v>265</v>
      </c>
      <c r="E748" s="352">
        <v>49</v>
      </c>
      <c r="F748" s="352"/>
      <c r="G748" s="366"/>
    </row>
    <row r="749" spans="1:7" x14ac:dyDescent="0.25">
      <c r="A749" s="153" t="s">
        <v>201</v>
      </c>
      <c r="B749" s="153" t="str">
        <f t="shared" si="33"/>
        <v>KINDWILLER</v>
      </c>
      <c r="C749" s="163" t="str">
        <f t="shared" si="34"/>
        <v>clos couvert</v>
      </c>
      <c r="D749" s="164" t="s">
        <v>265</v>
      </c>
      <c r="E749" s="352">
        <v>46</v>
      </c>
      <c r="F749" s="352"/>
      <c r="G749" s="363"/>
    </row>
    <row r="750" spans="1:7" x14ac:dyDescent="0.25">
      <c r="A750" s="153" t="s">
        <v>180</v>
      </c>
      <c r="B750" s="153" t="str">
        <f t="shared" si="33"/>
        <v>KILSTETT</v>
      </c>
      <c r="C750" s="163" t="str">
        <f t="shared" si="34"/>
        <v>chape s42</v>
      </c>
      <c r="D750" s="164"/>
      <c r="E750" s="352"/>
      <c r="F750" s="352"/>
      <c r="G750" s="363"/>
    </row>
    <row r="751" spans="1:7" x14ac:dyDescent="0.25">
      <c r="A751" s="153" t="s">
        <v>214</v>
      </c>
      <c r="B751" s="153" t="str">
        <f t="shared" si="33"/>
        <v>BUST</v>
      </c>
      <c r="C751" s="163" t="str">
        <f t="shared" si="34"/>
        <v>couvert</v>
      </c>
      <c r="D751" s="164" t="s">
        <v>239</v>
      </c>
      <c r="E751" s="352">
        <v>43</v>
      </c>
      <c r="F751" s="352"/>
      <c r="G751" s="366"/>
    </row>
    <row r="752" spans="1:7" x14ac:dyDescent="0.25">
      <c r="A752" s="198" t="s">
        <v>202</v>
      </c>
      <c r="B752" s="198" t="str">
        <f t="shared" si="33"/>
        <v>LUTZELHOUSE</v>
      </c>
      <c r="C752" s="163" t="str">
        <f t="shared" si="34"/>
        <v>charpente</v>
      </c>
      <c r="D752" s="163" t="s">
        <v>239</v>
      </c>
      <c r="E752" s="352">
        <v>2</v>
      </c>
      <c r="F752" s="351"/>
      <c r="G752" s="367"/>
    </row>
    <row r="753" spans="1:7" x14ac:dyDescent="0.25">
      <c r="A753" s="198" t="s">
        <v>282</v>
      </c>
      <c r="B753" s="198" t="str">
        <f t="shared" si="33"/>
        <v>BREUSCHWICKERSHEIM</v>
      </c>
      <c r="C753" s="199" t="str">
        <f t="shared" si="34"/>
        <v>fondations</v>
      </c>
      <c r="D753" s="163"/>
      <c r="E753" s="352"/>
      <c r="F753" s="351"/>
      <c r="G753" s="367"/>
    </row>
    <row r="754" spans="1:7" x14ac:dyDescent="0.25">
      <c r="A754" s="198" t="s">
        <v>363</v>
      </c>
      <c r="B754" s="198" t="str">
        <f t="shared" si="33"/>
        <v>GAMBSHEIM</v>
      </c>
      <c r="C754" s="199" t="str">
        <f t="shared" si="34"/>
        <v>marchés en cours</v>
      </c>
      <c r="D754" s="163"/>
      <c r="E754" s="352"/>
      <c r="F754" s="351"/>
      <c r="G754" s="367"/>
    </row>
    <row r="755" spans="1:7" x14ac:dyDescent="0.25">
      <c r="A755" s="198" t="s">
        <v>364</v>
      </c>
      <c r="B755" s="198" t="str">
        <f t="shared" si="33"/>
        <v>OBERLAUTERBACH</v>
      </c>
      <c r="C755" s="199" t="str">
        <f t="shared" si="34"/>
        <v>marchés S43</v>
      </c>
      <c r="D755" s="163" t="s">
        <v>239</v>
      </c>
      <c r="E755" s="352">
        <v>47</v>
      </c>
      <c r="F755" s="351"/>
      <c r="G755" s="367"/>
    </row>
    <row r="756" spans="1:7" x14ac:dyDescent="0.25">
      <c r="A756" s="198" t="s">
        <v>181</v>
      </c>
      <c r="B756" s="370" t="str">
        <f t="shared" si="33"/>
        <v>OBERMODERN-ZUTZENDORF</v>
      </c>
      <c r="C756" s="199" t="str">
        <f t="shared" si="34"/>
        <v>chape s41</v>
      </c>
      <c r="D756" s="164"/>
      <c r="E756" s="351"/>
      <c r="F756" s="351"/>
      <c r="G756" s="367"/>
    </row>
    <row r="757" spans="1:7" x14ac:dyDescent="0.25">
      <c r="A757" s="198" t="s">
        <v>164</v>
      </c>
      <c r="B757" s="370" t="str">
        <f t="shared" si="33"/>
        <v>WILDERSBACH</v>
      </c>
      <c r="C757" s="199" t="str">
        <f t="shared" si="34"/>
        <v>à receptionner</v>
      </c>
      <c r="D757" s="163"/>
      <c r="E757" s="351"/>
      <c r="F757" s="351"/>
      <c r="G757" s="367"/>
    </row>
    <row r="758" spans="1:7" x14ac:dyDescent="0.25">
      <c r="A758" s="198" t="s">
        <v>248</v>
      </c>
      <c r="B758" s="370" t="str">
        <f t="shared" si="33"/>
        <v>AVENHEIM</v>
      </c>
      <c r="C758" s="199" t="str">
        <f t="shared" si="34"/>
        <v>dalle basse RDC</v>
      </c>
      <c r="D758" s="163"/>
      <c r="E758" s="351"/>
      <c r="F758" s="351"/>
      <c r="G758" s="367"/>
    </row>
    <row r="759" spans="1:7" x14ac:dyDescent="0.25">
      <c r="A759" s="198"/>
      <c r="B759" s="199"/>
      <c r="C759" s="163"/>
      <c r="D759" s="259"/>
      <c r="E759" s="351"/>
      <c r="F759" s="351"/>
    </row>
    <row r="763" spans="1:7" x14ac:dyDescent="0.25">
      <c r="A763" s="407" t="s">
        <v>373</v>
      </c>
      <c r="B763" s="407"/>
      <c r="C763" s="407"/>
      <c r="D763" s="407"/>
      <c r="E763" s="407"/>
      <c r="F763" s="407"/>
      <c r="G763" s="407"/>
    </row>
    <row r="764" spans="1:7" ht="15.75" thickBot="1" x14ac:dyDescent="0.3">
      <c r="A764" s="407" t="s">
        <v>374</v>
      </c>
      <c r="B764" s="407"/>
      <c r="C764" s="407"/>
      <c r="D764" s="407"/>
      <c r="E764" s="407"/>
      <c r="F764" s="407"/>
      <c r="G764" s="407"/>
    </row>
    <row r="765" spans="1:7" ht="15" customHeight="1" x14ac:dyDescent="0.25">
      <c r="C765" s="401" t="s">
        <v>80</v>
      </c>
      <c r="D765" s="402"/>
    </row>
    <row r="766" spans="1:7" ht="6.75" customHeight="1" x14ac:dyDescent="0.25">
      <c r="C766" s="403"/>
      <c r="D766" s="404"/>
    </row>
    <row r="767" spans="1:7" ht="27" customHeight="1" thickBot="1" x14ac:dyDescent="0.3">
      <c r="C767" s="405"/>
      <c r="D767" s="406"/>
    </row>
    <row r="768" spans="1:7" ht="27" customHeight="1" thickBot="1" x14ac:dyDescent="0.3">
      <c r="C768" s="121" t="s">
        <v>1</v>
      </c>
      <c r="D768" s="113">
        <f ca="1">D588</f>
        <v>41</v>
      </c>
    </row>
    <row r="769" spans="1:8" ht="15" customHeight="1" x14ac:dyDescent="0.25">
      <c r="C769" s="121"/>
      <c r="H769" s="119"/>
    </row>
    <row r="770" spans="1:8" ht="10.5" customHeight="1" x14ac:dyDescent="0.25">
      <c r="C770" s="109"/>
      <c r="D770" s="109"/>
      <c r="E770" s="348"/>
      <c r="F770" s="348"/>
    </row>
    <row r="771" spans="1:8" ht="21.75" customHeight="1" x14ac:dyDescent="0.4">
      <c r="B771" s="114" t="s">
        <v>77</v>
      </c>
      <c r="C771" s="114" t="s">
        <v>189</v>
      </c>
      <c r="D771" s="342" t="s">
        <v>344</v>
      </c>
      <c r="E771" s="141"/>
      <c r="F771" s="348"/>
    </row>
    <row r="772" spans="1:8" ht="16.5" customHeight="1" x14ac:dyDescent="0.3">
      <c r="C772" s="110"/>
      <c r="D772" s="109"/>
      <c r="E772" s="348"/>
      <c r="F772" s="348"/>
    </row>
    <row r="773" spans="1:8" s="138" customFormat="1" ht="16.5" customHeight="1" x14ac:dyDescent="0.25">
      <c r="A773" s="369" t="s">
        <v>78</v>
      </c>
      <c r="B773" s="369" t="s">
        <v>294</v>
      </c>
      <c r="C773" s="141" t="s">
        <v>79</v>
      </c>
      <c r="D773" s="112" t="s">
        <v>375</v>
      </c>
      <c r="E773" s="348" t="s">
        <v>352</v>
      </c>
      <c r="F773" s="348" t="s">
        <v>369</v>
      </c>
      <c r="G773" s="141" t="s">
        <v>126</v>
      </c>
    </row>
    <row r="774" spans="1:8" ht="16.5" customHeight="1" x14ac:dyDescent="0.25">
      <c r="A774" s="111" t="s">
        <v>213</v>
      </c>
      <c r="B774" s="111" t="str">
        <f t="shared" ref="B774:B803" si="35">B10</f>
        <v>PFETTISHEIM</v>
      </c>
      <c r="C774" s="342" t="str">
        <f t="shared" ref="C774:C800" si="36">C729</f>
        <v>pignons</v>
      </c>
      <c r="D774" s="115"/>
      <c r="E774" s="348"/>
      <c r="F774" s="348"/>
      <c r="G774" s="354"/>
    </row>
    <row r="775" spans="1:8" x14ac:dyDescent="0.25">
      <c r="A775" s="116" t="s">
        <v>278</v>
      </c>
      <c r="B775" s="116" t="str">
        <f t="shared" si="35"/>
        <v>BLIENSCHWILLER</v>
      </c>
      <c r="C775" s="342" t="str">
        <f t="shared" si="36"/>
        <v>fondations</v>
      </c>
      <c r="D775" s="117" t="s">
        <v>342</v>
      </c>
      <c r="E775" s="348">
        <v>47</v>
      </c>
      <c r="F775" s="349"/>
      <c r="G775" s="355"/>
    </row>
    <row r="776" spans="1:8" x14ac:dyDescent="0.25">
      <c r="A776" s="116" t="s">
        <v>259</v>
      </c>
      <c r="B776" s="116" t="str">
        <f t="shared" si="35"/>
        <v>BERSTHEIM</v>
      </c>
      <c r="C776" s="342" t="str">
        <f t="shared" si="36"/>
        <v>dalle basse RDC</v>
      </c>
      <c r="D776" s="117"/>
      <c r="E776" s="348"/>
      <c r="F776" s="349"/>
      <c r="G776" s="355"/>
    </row>
    <row r="777" spans="1:8" x14ac:dyDescent="0.25">
      <c r="A777" s="116" t="s">
        <v>279</v>
      </c>
      <c r="B777" s="116" t="str">
        <f t="shared" si="35"/>
        <v>FRIEDOLSHEIM</v>
      </c>
      <c r="C777" s="342" t="str">
        <f t="shared" si="36"/>
        <v>dalle basse RDC</v>
      </c>
      <c r="D777" s="117"/>
      <c r="E777" s="348"/>
      <c r="F777" s="349"/>
      <c r="G777" s="355"/>
    </row>
    <row r="778" spans="1:8" x14ac:dyDescent="0.25">
      <c r="A778" s="116" t="s">
        <v>179</v>
      </c>
      <c r="B778" s="116" t="str">
        <f t="shared" si="35"/>
        <v>GERTSHEIM</v>
      </c>
      <c r="C778" s="342" t="str">
        <f t="shared" si="36"/>
        <v>à receptionner</v>
      </c>
      <c r="D778" s="117"/>
      <c r="E778" s="348"/>
      <c r="F778" s="349"/>
      <c r="G778" s="355"/>
    </row>
    <row r="779" spans="1:8" x14ac:dyDescent="0.25">
      <c r="A779" s="116" t="s">
        <v>197</v>
      </c>
      <c r="B779" s="116" t="str">
        <f t="shared" si="35"/>
        <v>STRASBOURG</v>
      </c>
      <c r="C779" s="342" t="str">
        <f t="shared" si="36"/>
        <v>chape s42</v>
      </c>
      <c r="D779" s="117"/>
      <c r="E779" s="348"/>
      <c r="F779" s="349"/>
      <c r="G779" s="355"/>
    </row>
    <row r="780" spans="1:8" x14ac:dyDescent="0.25">
      <c r="A780" s="116" t="s">
        <v>280</v>
      </c>
      <c r="B780" s="116" t="str">
        <f t="shared" si="35"/>
        <v>HENGWILLER</v>
      </c>
      <c r="C780" s="342" t="str">
        <f t="shared" si="36"/>
        <v>soubassement</v>
      </c>
      <c r="D780" s="117"/>
      <c r="E780" s="348"/>
      <c r="F780" s="349"/>
      <c r="G780" s="355"/>
    </row>
    <row r="781" spans="1:8" x14ac:dyDescent="0.25">
      <c r="A781" s="116" t="s">
        <v>198</v>
      </c>
      <c r="B781" s="116" t="str">
        <f t="shared" si="35"/>
        <v>HANGENBIENTEN</v>
      </c>
      <c r="C781" s="342" t="str">
        <f t="shared" si="36"/>
        <v>dalle basse RDC</v>
      </c>
      <c r="D781" s="117"/>
      <c r="E781" s="348"/>
      <c r="F781" s="349"/>
      <c r="G781" s="355"/>
    </row>
    <row r="782" spans="1:8" x14ac:dyDescent="0.25">
      <c r="A782" s="116" t="s">
        <v>281</v>
      </c>
      <c r="B782" s="116" t="str">
        <f t="shared" si="35"/>
        <v>OBERHOFFEN</v>
      </c>
      <c r="C782" s="342" t="str">
        <f t="shared" si="36"/>
        <v>dalle basse RDC</v>
      </c>
      <c r="D782" s="343"/>
      <c r="E782" s="348"/>
      <c r="F782" s="348"/>
      <c r="G782" s="355"/>
    </row>
    <row r="783" spans="1:8" x14ac:dyDescent="0.25">
      <c r="A783" s="116" t="s">
        <v>199</v>
      </c>
      <c r="B783" s="116" t="str">
        <f t="shared" si="35"/>
        <v>EBERSHEIM</v>
      </c>
      <c r="C783" s="342" t="str">
        <f t="shared" si="36"/>
        <v>couvert</v>
      </c>
      <c r="D783" s="117"/>
      <c r="E783" s="348"/>
      <c r="F783" s="349"/>
      <c r="G783" s="355"/>
    </row>
    <row r="784" spans="1:8" x14ac:dyDescent="0.25">
      <c r="A784" s="116" t="s">
        <v>256</v>
      </c>
      <c r="B784" s="116" t="str">
        <f t="shared" si="35"/>
        <v>DINSHEIM S/ BRUCHE</v>
      </c>
      <c r="C784" s="342" t="str">
        <f t="shared" si="36"/>
        <v>GO fini</v>
      </c>
      <c r="D784" s="117"/>
      <c r="E784" s="348"/>
      <c r="F784" s="349"/>
      <c r="G784" s="355"/>
    </row>
    <row r="785" spans="1:7" x14ac:dyDescent="0.25">
      <c r="A785" s="116" t="s">
        <v>357</v>
      </c>
      <c r="B785" s="116" t="str">
        <f t="shared" si="35"/>
        <v>MOLSHEIM</v>
      </c>
      <c r="C785" s="342" t="str">
        <f t="shared" si="36"/>
        <v>marchés en cours</v>
      </c>
      <c r="D785" s="117"/>
      <c r="E785" s="348"/>
      <c r="F785" s="349"/>
      <c r="G785" s="355"/>
    </row>
    <row r="786" spans="1:7" x14ac:dyDescent="0.25">
      <c r="A786" s="116" t="s">
        <v>200</v>
      </c>
      <c r="B786" s="116" t="str">
        <f t="shared" si="35"/>
        <v>KLEINFRANKENHEIM</v>
      </c>
      <c r="C786" s="342" t="str">
        <f t="shared" si="36"/>
        <v>second œuvre en cours charge client</v>
      </c>
      <c r="D786" s="117"/>
      <c r="E786" s="348"/>
      <c r="F786" s="349"/>
      <c r="G786" s="355"/>
    </row>
    <row r="787" spans="1:7" x14ac:dyDescent="0.25">
      <c r="A787" s="116" t="s">
        <v>161</v>
      </c>
      <c r="B787" s="116" t="str">
        <f t="shared" si="35"/>
        <v>HANGENBIENTEN</v>
      </c>
      <c r="C787" s="342" t="str">
        <f t="shared" si="36"/>
        <v>chape</v>
      </c>
      <c r="D787" s="117"/>
      <c r="E787" s="348"/>
      <c r="F787" s="349"/>
      <c r="G787" s="355"/>
    </row>
    <row r="788" spans="1:7" x14ac:dyDescent="0.25">
      <c r="A788" s="116" t="s">
        <v>185</v>
      </c>
      <c r="B788" s="116" t="str">
        <f t="shared" si="35"/>
        <v>PETERSBACH</v>
      </c>
      <c r="C788" s="342" t="str">
        <f t="shared" si="36"/>
        <v>couvert</v>
      </c>
      <c r="D788" s="117"/>
      <c r="E788" s="348"/>
      <c r="F788" s="349"/>
      <c r="G788" s="355"/>
    </row>
    <row r="789" spans="1:7" x14ac:dyDescent="0.25">
      <c r="A789" s="116" t="s">
        <v>162</v>
      </c>
      <c r="B789" s="116" t="str">
        <f t="shared" si="35"/>
        <v>ENTZHEIM</v>
      </c>
      <c r="C789" s="342" t="str">
        <f t="shared" si="36"/>
        <v>chape</v>
      </c>
      <c r="D789" s="117"/>
      <c r="E789" s="348"/>
      <c r="F789" s="349"/>
      <c r="G789" s="355"/>
    </row>
    <row r="790" spans="1:7" x14ac:dyDescent="0.25">
      <c r="A790" s="116" t="s">
        <v>152</v>
      </c>
      <c r="B790" s="116" t="str">
        <f t="shared" si="35"/>
        <v>KILSTETT</v>
      </c>
      <c r="C790" s="342" t="str">
        <f t="shared" si="36"/>
        <v>chantier en arrêt</v>
      </c>
      <c r="D790" s="117"/>
      <c r="E790" s="348"/>
      <c r="F790" s="349"/>
      <c r="G790" s="355"/>
    </row>
    <row r="791" spans="1:7" x14ac:dyDescent="0.25">
      <c r="A791" s="116" t="s">
        <v>218</v>
      </c>
      <c r="B791" s="116" t="str">
        <f t="shared" si="35"/>
        <v>ESCHBACH</v>
      </c>
      <c r="C791" s="342" t="str">
        <f t="shared" si="36"/>
        <v>couvert</v>
      </c>
      <c r="D791" s="117"/>
      <c r="E791" s="348"/>
      <c r="F791" s="349"/>
      <c r="G791" s="355"/>
    </row>
    <row r="792" spans="1:7" x14ac:dyDescent="0.25">
      <c r="A792" s="116" t="s">
        <v>163</v>
      </c>
      <c r="B792" s="116" t="str">
        <f t="shared" si="35"/>
        <v>BISCHWILLER</v>
      </c>
      <c r="C792" s="342" t="str">
        <f t="shared" si="36"/>
        <v>chape s42</v>
      </c>
      <c r="D792" s="117"/>
      <c r="E792" s="348"/>
      <c r="F792" s="349"/>
      <c r="G792" s="355"/>
    </row>
    <row r="793" spans="1:7" x14ac:dyDescent="0.25">
      <c r="A793" s="116" t="s">
        <v>153</v>
      </c>
      <c r="B793" s="116" t="str">
        <f t="shared" si="35"/>
        <v>PFETTISHEIM</v>
      </c>
      <c r="C793" s="342" t="str">
        <f t="shared" si="36"/>
        <v>à receptionner</v>
      </c>
      <c r="D793" s="117"/>
      <c r="E793" s="348"/>
      <c r="F793" s="349"/>
      <c r="G793" s="355"/>
    </row>
    <row r="794" spans="1:7" x14ac:dyDescent="0.25">
      <c r="A794" s="116" t="s">
        <v>201</v>
      </c>
      <c r="B794" s="116" t="str">
        <f t="shared" si="35"/>
        <v>KINDWILLER</v>
      </c>
      <c r="C794" s="342" t="str">
        <f t="shared" si="36"/>
        <v>clos couvert</v>
      </c>
      <c r="D794" s="117"/>
      <c r="E794" s="348"/>
      <c r="F794" s="349"/>
      <c r="G794" s="355"/>
    </row>
    <row r="795" spans="1:7" x14ac:dyDescent="0.25">
      <c r="A795" s="136" t="s">
        <v>180</v>
      </c>
      <c r="B795" s="136" t="str">
        <f t="shared" si="35"/>
        <v>KILSTETT</v>
      </c>
      <c r="C795" s="342" t="str">
        <f t="shared" si="36"/>
        <v>chape s42</v>
      </c>
      <c r="D795" s="137"/>
      <c r="E795" s="348"/>
      <c r="F795" s="349"/>
      <c r="G795" s="355"/>
    </row>
    <row r="796" spans="1:7" x14ac:dyDescent="0.25">
      <c r="A796" s="136" t="s">
        <v>214</v>
      </c>
      <c r="B796" s="136" t="str">
        <f t="shared" si="35"/>
        <v>BUST</v>
      </c>
      <c r="C796" s="137" t="str">
        <f t="shared" si="36"/>
        <v>couvert</v>
      </c>
      <c r="D796" s="137" t="s">
        <v>343</v>
      </c>
      <c r="E796" s="348">
        <v>43</v>
      </c>
      <c r="F796" s="349"/>
      <c r="G796" s="355"/>
    </row>
    <row r="797" spans="1:7" x14ac:dyDescent="0.25">
      <c r="A797" s="160" t="s">
        <v>202</v>
      </c>
      <c r="B797" s="160" t="str">
        <f t="shared" si="35"/>
        <v>LUTZELHOUSE</v>
      </c>
      <c r="C797" s="343" t="str">
        <f t="shared" si="36"/>
        <v>charpente</v>
      </c>
      <c r="D797" s="343"/>
      <c r="E797" s="348"/>
      <c r="F797" s="348"/>
      <c r="G797" s="356"/>
    </row>
    <row r="798" spans="1:7" x14ac:dyDescent="0.25">
      <c r="A798" s="160" t="s">
        <v>282</v>
      </c>
      <c r="B798" s="160" t="str">
        <f t="shared" si="35"/>
        <v>BREUSCHWICKERSHEIM</v>
      </c>
      <c r="C798" s="343" t="str">
        <f t="shared" si="36"/>
        <v>fondations</v>
      </c>
      <c r="D798" s="343"/>
      <c r="E798" s="348"/>
      <c r="F798" s="348"/>
      <c r="G798" s="356"/>
    </row>
    <row r="799" spans="1:7" x14ac:dyDescent="0.25">
      <c r="A799" s="160" t="s">
        <v>363</v>
      </c>
      <c r="B799" s="160" t="str">
        <f t="shared" si="35"/>
        <v>GAMBSHEIM</v>
      </c>
      <c r="C799" s="343" t="str">
        <f t="shared" si="36"/>
        <v>marchés en cours</v>
      </c>
      <c r="D799" s="343"/>
      <c r="E799" s="348"/>
      <c r="F799" s="348"/>
      <c r="G799" s="356"/>
    </row>
    <row r="800" spans="1:7" x14ac:dyDescent="0.25">
      <c r="A800" s="160" t="s">
        <v>364</v>
      </c>
      <c r="B800" s="160" t="str">
        <f t="shared" si="35"/>
        <v>OBERLAUTERBACH</v>
      </c>
      <c r="C800" s="343" t="str">
        <f t="shared" si="36"/>
        <v>marchés S43</v>
      </c>
      <c r="D800" s="343"/>
      <c r="E800" s="348"/>
      <c r="F800" s="348"/>
      <c r="G800" s="356"/>
    </row>
    <row r="801" spans="1:8" x14ac:dyDescent="0.25">
      <c r="A801" s="160" t="s">
        <v>181</v>
      </c>
      <c r="B801" s="161" t="str">
        <f t="shared" si="35"/>
        <v>OBERMODERN-ZUTZENDORF</v>
      </c>
      <c r="C801" s="343" t="str">
        <f>C756</f>
        <v>chape s41</v>
      </c>
      <c r="D801" s="343"/>
      <c r="E801" s="348"/>
      <c r="F801" s="348"/>
      <c r="G801" s="356"/>
    </row>
    <row r="802" spans="1:8" x14ac:dyDescent="0.25">
      <c r="A802" s="160" t="s">
        <v>164</v>
      </c>
      <c r="B802" s="161" t="str">
        <f t="shared" si="35"/>
        <v>WILDERSBACH</v>
      </c>
      <c r="C802" s="343" t="str">
        <f>C757</f>
        <v>à receptionner</v>
      </c>
      <c r="D802" s="343"/>
      <c r="E802" s="348"/>
      <c r="F802" s="348"/>
      <c r="G802" s="356"/>
    </row>
    <row r="803" spans="1:8" x14ac:dyDescent="0.25">
      <c r="A803" s="160" t="s">
        <v>248</v>
      </c>
      <c r="B803" s="161" t="str">
        <f t="shared" si="35"/>
        <v>AVENHEIM</v>
      </c>
      <c r="C803" s="343" t="str">
        <f>C758</f>
        <v>dalle basse RDC</v>
      </c>
      <c r="D803" s="343"/>
      <c r="E803" s="348"/>
      <c r="F803" s="348"/>
      <c r="G803" s="356"/>
    </row>
    <row r="804" spans="1:8" x14ac:dyDescent="0.25">
      <c r="A804" s="160"/>
      <c r="B804" s="343"/>
      <c r="C804" s="343"/>
      <c r="D804" s="148"/>
      <c r="E804" s="348"/>
      <c r="F804" s="348"/>
    </row>
    <row r="808" spans="1:8" x14ac:dyDescent="0.25">
      <c r="A808" s="407" t="s">
        <v>373</v>
      </c>
      <c r="B808" s="407"/>
      <c r="C808" s="407"/>
      <c r="D808" s="407"/>
      <c r="E808" s="407"/>
      <c r="F808" s="407"/>
      <c r="G808" s="407"/>
    </row>
    <row r="809" spans="1:8" ht="15.75" thickBot="1" x14ac:dyDescent="0.3">
      <c r="A809" s="407" t="s">
        <v>374</v>
      </c>
      <c r="B809" s="407"/>
      <c r="C809" s="407"/>
      <c r="D809" s="407"/>
      <c r="E809" s="407"/>
      <c r="F809" s="407"/>
      <c r="G809" s="407"/>
    </row>
    <row r="810" spans="1:8" ht="15" customHeight="1" x14ac:dyDescent="0.25">
      <c r="C810" s="401" t="s">
        <v>80</v>
      </c>
      <c r="D810" s="402"/>
    </row>
    <row r="811" spans="1:8" ht="6.75" customHeight="1" x14ac:dyDescent="0.25">
      <c r="C811" s="403"/>
      <c r="D811" s="404"/>
    </row>
    <row r="812" spans="1:8" ht="27" customHeight="1" thickBot="1" x14ac:dyDescent="0.3">
      <c r="C812" s="405"/>
      <c r="D812" s="406"/>
    </row>
    <row r="813" spans="1:8" ht="27" customHeight="1" thickBot="1" x14ac:dyDescent="0.3">
      <c r="C813" s="121" t="s">
        <v>1</v>
      </c>
      <c r="D813" s="113">
        <f ca="1">D633</f>
        <v>41</v>
      </c>
    </row>
    <row r="814" spans="1:8" ht="15" customHeight="1" x14ac:dyDescent="0.25">
      <c r="C814" s="121"/>
      <c r="H814" s="119"/>
    </row>
    <row r="815" spans="1:8" ht="10.5" customHeight="1" x14ac:dyDescent="0.25">
      <c r="C815" s="109"/>
      <c r="D815" s="134"/>
      <c r="E815" s="348"/>
      <c r="F815" s="348"/>
    </row>
    <row r="816" spans="1:8" ht="21.75" customHeight="1" x14ac:dyDescent="0.4">
      <c r="B816" s="114" t="s">
        <v>77</v>
      </c>
      <c r="C816" s="114" t="s">
        <v>55</v>
      </c>
      <c r="D816" s="135" t="s">
        <v>94</v>
      </c>
      <c r="F816" s="348"/>
    </row>
    <row r="817" spans="1:7" ht="16.5" customHeight="1" x14ac:dyDescent="0.3">
      <c r="C817" s="110"/>
      <c r="D817" s="109"/>
      <c r="E817" s="348"/>
      <c r="F817" s="348"/>
    </row>
    <row r="818" spans="1:7" s="138" customFormat="1" ht="16.5" customHeight="1" x14ac:dyDescent="0.25">
      <c r="A818" s="369" t="s">
        <v>78</v>
      </c>
      <c r="B818" s="369" t="s">
        <v>294</v>
      </c>
      <c r="C818" s="141" t="s">
        <v>79</v>
      </c>
      <c r="D818" s="112" t="s">
        <v>375</v>
      </c>
      <c r="E818" s="348" t="s">
        <v>352</v>
      </c>
      <c r="F818" s="348" t="s">
        <v>369</v>
      </c>
      <c r="G818" s="141" t="s">
        <v>126</v>
      </c>
    </row>
    <row r="819" spans="1:7" ht="16.5" customHeight="1" x14ac:dyDescent="0.25">
      <c r="A819" s="111" t="s">
        <v>213</v>
      </c>
      <c r="B819" s="111" t="str">
        <f t="shared" ref="B819:B848" si="37">B10</f>
        <v>PFETTISHEIM</v>
      </c>
      <c r="C819" s="342" t="str">
        <f t="shared" ref="C819:C845" si="38">C774</f>
        <v>pignons</v>
      </c>
      <c r="D819" s="140" t="s">
        <v>220</v>
      </c>
      <c r="E819" s="348">
        <v>44</v>
      </c>
      <c r="F819" s="348"/>
      <c r="G819" s="354"/>
    </row>
    <row r="820" spans="1:7" x14ac:dyDescent="0.25">
      <c r="A820" s="116" t="s">
        <v>278</v>
      </c>
      <c r="B820" s="116" t="str">
        <f t="shared" si="37"/>
        <v>BLIENSCHWILLER</v>
      </c>
      <c r="C820" s="342" t="str">
        <f t="shared" si="38"/>
        <v>fondations</v>
      </c>
      <c r="D820" s="117"/>
      <c r="E820" s="348"/>
      <c r="F820" s="349"/>
      <c r="G820" s="355"/>
    </row>
    <row r="821" spans="1:7" x14ac:dyDescent="0.25">
      <c r="A821" s="116" t="s">
        <v>259</v>
      </c>
      <c r="B821" s="116" t="str">
        <f t="shared" si="37"/>
        <v>BERSTHEIM</v>
      </c>
      <c r="C821" s="342" t="str">
        <f t="shared" si="38"/>
        <v>dalle basse RDC</v>
      </c>
      <c r="D821" s="117"/>
      <c r="E821" s="348"/>
      <c r="F821" s="349"/>
      <c r="G821" s="355"/>
    </row>
    <row r="822" spans="1:7" x14ac:dyDescent="0.25">
      <c r="A822" s="116" t="s">
        <v>279</v>
      </c>
      <c r="B822" s="116" t="str">
        <f t="shared" si="37"/>
        <v>FRIEDOLSHEIM</v>
      </c>
      <c r="C822" s="342" t="str">
        <f t="shared" si="38"/>
        <v>dalle basse RDC</v>
      </c>
      <c r="D822" s="117"/>
      <c r="E822" s="348"/>
      <c r="F822" s="349"/>
      <c r="G822" s="355"/>
    </row>
    <row r="823" spans="1:7" x14ac:dyDescent="0.25">
      <c r="A823" s="116" t="s">
        <v>179</v>
      </c>
      <c r="B823" s="116" t="str">
        <f t="shared" si="37"/>
        <v>GERTSHEIM</v>
      </c>
      <c r="C823" s="342" t="str">
        <f t="shared" si="38"/>
        <v>à receptionner</v>
      </c>
      <c r="D823" s="117"/>
      <c r="E823" s="348"/>
      <c r="F823" s="349"/>
      <c r="G823" s="355"/>
    </row>
    <row r="824" spans="1:7" x14ac:dyDescent="0.25">
      <c r="A824" s="116" t="s">
        <v>197</v>
      </c>
      <c r="B824" s="116" t="str">
        <f t="shared" si="37"/>
        <v>STRASBOURG</v>
      </c>
      <c r="C824" s="342" t="str">
        <f t="shared" si="38"/>
        <v>chape s42</v>
      </c>
      <c r="D824" s="343"/>
      <c r="E824" s="348"/>
      <c r="F824" s="348"/>
      <c r="G824" s="355"/>
    </row>
    <row r="825" spans="1:7" x14ac:dyDescent="0.25">
      <c r="A825" s="116" t="s">
        <v>280</v>
      </c>
      <c r="B825" s="116" t="str">
        <f t="shared" si="37"/>
        <v>HENGWILLER</v>
      </c>
      <c r="C825" s="342" t="str">
        <f t="shared" si="38"/>
        <v>soubassement</v>
      </c>
      <c r="D825" s="117" t="s">
        <v>219</v>
      </c>
      <c r="E825" s="348">
        <v>45</v>
      </c>
      <c r="F825" s="349"/>
      <c r="G825" s="355"/>
    </row>
    <row r="826" spans="1:7" x14ac:dyDescent="0.25">
      <c r="A826" s="116" t="s">
        <v>198</v>
      </c>
      <c r="B826" s="116" t="str">
        <f t="shared" si="37"/>
        <v>HANGENBIENTEN</v>
      </c>
      <c r="C826" s="342" t="str">
        <f t="shared" si="38"/>
        <v>dalle basse RDC</v>
      </c>
      <c r="D826" s="117" t="s">
        <v>307</v>
      </c>
      <c r="E826" s="348"/>
      <c r="F826" s="349"/>
      <c r="G826" s="355"/>
    </row>
    <row r="827" spans="1:7" x14ac:dyDescent="0.25">
      <c r="A827" s="116" t="s">
        <v>281</v>
      </c>
      <c r="B827" s="116" t="str">
        <f t="shared" si="37"/>
        <v>OBERHOFFEN</v>
      </c>
      <c r="C827" s="342" t="str">
        <f t="shared" si="38"/>
        <v>dalle basse RDC</v>
      </c>
      <c r="D827" s="117"/>
      <c r="E827" s="348"/>
      <c r="F827" s="349"/>
      <c r="G827" s="355"/>
    </row>
    <row r="828" spans="1:7" x14ac:dyDescent="0.25">
      <c r="A828" s="116" t="s">
        <v>199</v>
      </c>
      <c r="B828" s="116" t="str">
        <f t="shared" si="37"/>
        <v>EBERSHEIM</v>
      </c>
      <c r="C828" s="342" t="str">
        <f t="shared" si="38"/>
        <v>couvert</v>
      </c>
      <c r="D828" s="117"/>
      <c r="E828" s="348"/>
      <c r="F828" s="349"/>
      <c r="G828" s="355"/>
    </row>
    <row r="829" spans="1:7" x14ac:dyDescent="0.25">
      <c r="A829" s="116" t="s">
        <v>256</v>
      </c>
      <c r="B829" s="116" t="str">
        <f t="shared" si="37"/>
        <v>DINSHEIM S/ BRUCHE</v>
      </c>
      <c r="C829" s="342" t="str">
        <f t="shared" si="38"/>
        <v>GO fini</v>
      </c>
      <c r="D829" s="117"/>
      <c r="E829" s="348"/>
      <c r="F829" s="349"/>
      <c r="G829" s="355"/>
    </row>
    <row r="830" spans="1:7" x14ac:dyDescent="0.25">
      <c r="A830" s="116" t="s">
        <v>357</v>
      </c>
      <c r="B830" s="116" t="str">
        <f t="shared" si="37"/>
        <v>MOLSHEIM</v>
      </c>
      <c r="C830" s="342" t="str">
        <f t="shared" si="38"/>
        <v>marchés en cours</v>
      </c>
      <c r="D830" s="117"/>
      <c r="E830" s="348"/>
      <c r="F830" s="349"/>
      <c r="G830" s="355"/>
    </row>
    <row r="831" spans="1:7" x14ac:dyDescent="0.25">
      <c r="A831" s="116" t="s">
        <v>200</v>
      </c>
      <c r="B831" s="116" t="str">
        <f t="shared" si="37"/>
        <v>KLEINFRANKENHEIM</v>
      </c>
      <c r="C831" s="342" t="str">
        <f t="shared" si="38"/>
        <v>second œuvre en cours charge client</v>
      </c>
      <c r="D831" s="117"/>
      <c r="E831" s="348"/>
      <c r="F831" s="349"/>
      <c r="G831" s="355"/>
    </row>
    <row r="832" spans="1:7" x14ac:dyDescent="0.25">
      <c r="A832" s="116" t="s">
        <v>161</v>
      </c>
      <c r="B832" s="116" t="str">
        <f t="shared" si="37"/>
        <v>HANGENBIENTEN</v>
      </c>
      <c r="C832" s="342" t="str">
        <f t="shared" si="38"/>
        <v>chape</v>
      </c>
      <c r="D832" s="343"/>
      <c r="E832" s="348"/>
      <c r="F832" s="348"/>
      <c r="G832" s="355"/>
    </row>
    <row r="833" spans="1:7" x14ac:dyDescent="0.25">
      <c r="A833" s="116" t="s">
        <v>185</v>
      </c>
      <c r="B833" s="116" t="str">
        <f t="shared" si="37"/>
        <v>PETERSBACH</v>
      </c>
      <c r="C833" s="342" t="str">
        <f t="shared" si="38"/>
        <v>couvert</v>
      </c>
      <c r="D833" s="117" t="s">
        <v>220</v>
      </c>
      <c r="E833" s="348">
        <v>41</v>
      </c>
      <c r="F833" s="349"/>
      <c r="G833" s="355"/>
    </row>
    <row r="834" spans="1:7" x14ac:dyDescent="0.25">
      <c r="A834" s="116" t="s">
        <v>162</v>
      </c>
      <c r="B834" s="116" t="str">
        <f t="shared" si="37"/>
        <v>ENTZHEIM</v>
      </c>
      <c r="C834" s="342" t="str">
        <f t="shared" si="38"/>
        <v>chape</v>
      </c>
      <c r="D834" s="117"/>
      <c r="E834" s="348"/>
      <c r="F834" s="349"/>
      <c r="G834" s="355"/>
    </row>
    <row r="835" spans="1:7" x14ac:dyDescent="0.25">
      <c r="A835" s="116" t="s">
        <v>152</v>
      </c>
      <c r="B835" s="116" t="str">
        <f t="shared" si="37"/>
        <v>KILSTETT</v>
      </c>
      <c r="C835" s="342" t="str">
        <f t="shared" si="38"/>
        <v>chantier en arrêt</v>
      </c>
      <c r="D835" s="117"/>
      <c r="E835" s="348"/>
      <c r="F835" s="349"/>
      <c r="G835" s="355"/>
    </row>
    <row r="836" spans="1:7" x14ac:dyDescent="0.25">
      <c r="A836" s="116" t="s">
        <v>218</v>
      </c>
      <c r="B836" s="116" t="str">
        <f t="shared" si="37"/>
        <v>ESCHBACH</v>
      </c>
      <c r="C836" s="342" t="str">
        <f t="shared" si="38"/>
        <v>couvert</v>
      </c>
      <c r="D836" s="117"/>
      <c r="E836" s="348"/>
      <c r="F836" s="349"/>
      <c r="G836" s="355"/>
    </row>
    <row r="837" spans="1:7" x14ac:dyDescent="0.25">
      <c r="A837" s="116" t="s">
        <v>163</v>
      </c>
      <c r="B837" s="116" t="str">
        <f t="shared" si="37"/>
        <v>BISCHWILLER</v>
      </c>
      <c r="C837" s="342" t="str">
        <f t="shared" si="38"/>
        <v>chape s42</v>
      </c>
      <c r="D837" s="117"/>
      <c r="E837" s="348"/>
      <c r="F837" s="349"/>
      <c r="G837" s="355"/>
    </row>
    <row r="838" spans="1:7" x14ac:dyDescent="0.25">
      <c r="A838" s="116" t="s">
        <v>153</v>
      </c>
      <c r="B838" s="116" t="str">
        <f t="shared" si="37"/>
        <v>PFETTISHEIM</v>
      </c>
      <c r="C838" s="342" t="str">
        <f t="shared" si="38"/>
        <v>à receptionner</v>
      </c>
      <c r="D838" s="117"/>
      <c r="E838" s="348"/>
      <c r="F838" s="349"/>
      <c r="G838" s="355"/>
    </row>
    <row r="839" spans="1:7" x14ac:dyDescent="0.25">
      <c r="A839" s="116" t="s">
        <v>201</v>
      </c>
      <c r="B839" s="116" t="str">
        <f t="shared" si="37"/>
        <v>KINDWILLER</v>
      </c>
      <c r="C839" s="342" t="str">
        <f t="shared" si="38"/>
        <v>clos couvert</v>
      </c>
      <c r="D839" s="117" t="s">
        <v>220</v>
      </c>
      <c r="E839" s="348">
        <v>42</v>
      </c>
      <c r="F839" s="349"/>
      <c r="G839" s="355"/>
    </row>
    <row r="840" spans="1:7" x14ac:dyDescent="0.25">
      <c r="A840" s="136" t="s">
        <v>180</v>
      </c>
      <c r="B840" s="136" t="str">
        <f t="shared" si="37"/>
        <v>KILSTETT</v>
      </c>
      <c r="C840" s="343" t="str">
        <f t="shared" si="38"/>
        <v>chape s42</v>
      </c>
      <c r="D840" s="137"/>
      <c r="E840" s="348"/>
      <c r="F840" s="349"/>
      <c r="G840" s="355"/>
    </row>
    <row r="841" spans="1:7" x14ac:dyDescent="0.25">
      <c r="A841" s="136" t="s">
        <v>214</v>
      </c>
      <c r="B841" s="136" t="str">
        <f t="shared" si="37"/>
        <v>BUST</v>
      </c>
      <c r="C841" s="137" t="str">
        <f t="shared" si="38"/>
        <v>couvert</v>
      </c>
      <c r="D841" s="137"/>
      <c r="E841" s="348"/>
      <c r="F841" s="349"/>
      <c r="G841" s="355"/>
    </row>
    <row r="842" spans="1:7" x14ac:dyDescent="0.25">
      <c r="A842" s="160" t="s">
        <v>202</v>
      </c>
      <c r="B842" s="160" t="str">
        <f t="shared" si="37"/>
        <v>LUTZELHOUSE</v>
      </c>
      <c r="C842" s="343" t="str">
        <f t="shared" si="38"/>
        <v>charpente</v>
      </c>
      <c r="D842" s="343"/>
      <c r="E842" s="348"/>
      <c r="F842" s="348"/>
      <c r="G842" s="356"/>
    </row>
    <row r="843" spans="1:7" x14ac:dyDescent="0.25">
      <c r="A843" s="160" t="s">
        <v>282</v>
      </c>
      <c r="B843" s="160" t="str">
        <f t="shared" si="37"/>
        <v>BREUSCHWICKERSHEIM</v>
      </c>
      <c r="C843" s="343" t="str">
        <f t="shared" si="38"/>
        <v>fondations</v>
      </c>
      <c r="D843" s="343"/>
      <c r="E843" s="348"/>
      <c r="F843" s="348"/>
      <c r="G843" s="356"/>
    </row>
    <row r="844" spans="1:7" x14ac:dyDescent="0.25">
      <c r="A844" s="160" t="s">
        <v>363</v>
      </c>
      <c r="B844" s="160" t="str">
        <f t="shared" si="37"/>
        <v>GAMBSHEIM</v>
      </c>
      <c r="C844" s="343" t="str">
        <f t="shared" si="38"/>
        <v>marchés en cours</v>
      </c>
      <c r="D844" s="343"/>
      <c r="E844" s="348"/>
      <c r="F844" s="348"/>
      <c r="G844" s="356"/>
    </row>
    <row r="845" spans="1:7" x14ac:dyDescent="0.25">
      <c r="A845" s="160" t="s">
        <v>364</v>
      </c>
      <c r="B845" s="160" t="str">
        <f t="shared" si="37"/>
        <v>OBERLAUTERBACH</v>
      </c>
      <c r="C845" s="343" t="str">
        <f t="shared" si="38"/>
        <v>marchés S43</v>
      </c>
      <c r="D845" s="343"/>
      <c r="E845" s="348"/>
      <c r="F845" s="348"/>
      <c r="G845" s="356"/>
    </row>
    <row r="846" spans="1:7" x14ac:dyDescent="0.25">
      <c r="A846" s="160" t="s">
        <v>181</v>
      </c>
      <c r="B846" s="161" t="str">
        <f t="shared" si="37"/>
        <v>OBERMODERN-ZUTZENDORF</v>
      </c>
      <c r="C846" s="343" t="str">
        <f>C801</f>
        <v>chape s41</v>
      </c>
      <c r="D846" s="343"/>
      <c r="E846" s="348"/>
      <c r="F846" s="348"/>
      <c r="G846" s="356"/>
    </row>
    <row r="847" spans="1:7" x14ac:dyDescent="0.25">
      <c r="A847" s="160" t="s">
        <v>164</v>
      </c>
      <c r="B847" s="161" t="str">
        <f t="shared" si="37"/>
        <v>WILDERSBACH</v>
      </c>
      <c r="C847" s="343" t="str">
        <f>C802</f>
        <v>à receptionner</v>
      </c>
      <c r="D847" s="343"/>
      <c r="E847" s="348"/>
      <c r="F847" s="348"/>
      <c r="G847" s="356"/>
    </row>
    <row r="848" spans="1:7" x14ac:dyDescent="0.25">
      <c r="A848" s="160" t="s">
        <v>248</v>
      </c>
      <c r="B848" s="161" t="str">
        <f t="shared" si="37"/>
        <v>AVENHEIM</v>
      </c>
      <c r="C848" s="343" t="str">
        <f>C803</f>
        <v>dalle basse RDC</v>
      </c>
      <c r="D848" s="343"/>
      <c r="E848" s="348"/>
      <c r="F848" s="348"/>
      <c r="G848" s="356"/>
    </row>
    <row r="849" spans="1:8" x14ac:dyDescent="0.25">
      <c r="A849" s="160"/>
      <c r="B849" s="343"/>
      <c r="C849" s="343"/>
      <c r="D849" s="148"/>
      <c r="E849" s="348"/>
      <c r="F849" s="348"/>
    </row>
    <row r="853" spans="1:8" x14ac:dyDescent="0.25">
      <c r="A853" s="407" t="s">
        <v>373</v>
      </c>
      <c r="B853" s="407"/>
      <c r="C853" s="407"/>
      <c r="D853" s="407"/>
      <c r="E853" s="407"/>
      <c r="F853" s="407"/>
      <c r="G853" s="407"/>
    </row>
    <row r="854" spans="1:8" ht="15.75" thickBot="1" x14ac:dyDescent="0.3">
      <c r="A854" s="407" t="s">
        <v>374</v>
      </c>
      <c r="B854" s="407"/>
      <c r="C854" s="407"/>
      <c r="D854" s="407"/>
      <c r="E854" s="407"/>
      <c r="F854" s="407"/>
      <c r="G854" s="407"/>
    </row>
    <row r="855" spans="1:8" ht="15" customHeight="1" x14ac:dyDescent="0.25">
      <c r="C855" s="401" t="s">
        <v>80</v>
      </c>
      <c r="D855" s="402"/>
    </row>
    <row r="856" spans="1:8" ht="6.75" customHeight="1" x14ac:dyDescent="0.25">
      <c r="C856" s="403"/>
      <c r="D856" s="404"/>
    </row>
    <row r="857" spans="1:8" ht="27" customHeight="1" thickBot="1" x14ac:dyDescent="0.3">
      <c r="C857" s="405"/>
      <c r="D857" s="406"/>
    </row>
    <row r="858" spans="1:8" ht="27" customHeight="1" thickBot="1" x14ac:dyDescent="0.3">
      <c r="C858" s="121" t="s">
        <v>1</v>
      </c>
      <c r="D858" s="113">
        <f ca="1">D678</f>
        <v>41</v>
      </c>
    </row>
    <row r="859" spans="1:8" ht="15" customHeight="1" x14ac:dyDescent="0.25">
      <c r="C859" s="121"/>
      <c r="H859" s="119"/>
    </row>
    <row r="860" spans="1:8" ht="10.5" customHeight="1" x14ac:dyDescent="0.25">
      <c r="C860" s="109"/>
      <c r="D860" s="109"/>
      <c r="E860" s="348"/>
      <c r="F860" s="348"/>
    </row>
    <row r="861" spans="1:8" ht="21.75" customHeight="1" x14ac:dyDescent="0.4">
      <c r="B861" s="114" t="s">
        <v>77</v>
      </c>
      <c r="C861" s="114" t="s">
        <v>44</v>
      </c>
      <c r="D861" s="342" t="s">
        <v>112</v>
      </c>
      <c r="E861" s="141"/>
      <c r="F861" s="348"/>
    </row>
    <row r="862" spans="1:8" ht="16.5" customHeight="1" x14ac:dyDescent="0.3">
      <c r="C862" s="110"/>
      <c r="D862" s="109"/>
      <c r="E862" s="348"/>
      <c r="F862" s="348"/>
    </row>
    <row r="863" spans="1:8" s="138" customFormat="1" ht="16.5" customHeight="1" x14ac:dyDescent="0.25">
      <c r="A863" s="369" t="s">
        <v>78</v>
      </c>
      <c r="B863" s="369" t="s">
        <v>294</v>
      </c>
      <c r="C863" s="141" t="s">
        <v>79</v>
      </c>
      <c r="D863" s="112" t="s">
        <v>375</v>
      </c>
      <c r="E863" s="348" t="s">
        <v>352</v>
      </c>
      <c r="F863" s="348" t="s">
        <v>369</v>
      </c>
      <c r="G863" s="141" t="s">
        <v>126</v>
      </c>
    </row>
    <row r="864" spans="1:8" ht="16.5" customHeight="1" x14ac:dyDescent="0.25">
      <c r="A864" s="111" t="s">
        <v>213</v>
      </c>
      <c r="B864" s="111" t="str">
        <f t="shared" ref="B864:B893" si="39">B10</f>
        <v>PFETTISHEIM</v>
      </c>
      <c r="C864" s="342" t="str">
        <f t="shared" ref="C864:C890" si="40">C819</f>
        <v>pignons</v>
      </c>
      <c r="D864" s="140" t="s">
        <v>228</v>
      </c>
      <c r="E864" s="348">
        <v>44</v>
      </c>
      <c r="F864" s="348"/>
      <c r="G864" s="354"/>
    </row>
    <row r="865" spans="1:7" x14ac:dyDescent="0.25">
      <c r="A865" s="116" t="s">
        <v>278</v>
      </c>
      <c r="B865" s="116" t="str">
        <f t="shared" si="39"/>
        <v>BLIENSCHWILLER</v>
      </c>
      <c r="C865" s="342" t="str">
        <f t="shared" si="40"/>
        <v>fondations</v>
      </c>
      <c r="D865" s="117"/>
      <c r="E865" s="348"/>
      <c r="F865" s="349"/>
      <c r="G865" s="355"/>
    </row>
    <row r="866" spans="1:7" x14ac:dyDescent="0.25">
      <c r="A866" s="116" t="s">
        <v>259</v>
      </c>
      <c r="B866" s="116" t="str">
        <f t="shared" si="39"/>
        <v>BERSTHEIM</v>
      </c>
      <c r="C866" s="342" t="str">
        <f t="shared" si="40"/>
        <v>dalle basse RDC</v>
      </c>
      <c r="D866" s="117" t="s">
        <v>228</v>
      </c>
      <c r="E866" s="348">
        <v>48</v>
      </c>
      <c r="F866" s="349"/>
      <c r="G866" s="355"/>
    </row>
    <row r="867" spans="1:7" x14ac:dyDescent="0.25">
      <c r="A867" s="123" t="s">
        <v>279</v>
      </c>
      <c r="B867" s="123" t="str">
        <f t="shared" si="39"/>
        <v>FRIEDOLSHEIM</v>
      </c>
      <c r="C867" s="342" t="str">
        <f t="shared" si="40"/>
        <v>dalle basse RDC</v>
      </c>
      <c r="D867" s="117"/>
      <c r="E867" s="348"/>
      <c r="F867" s="349"/>
      <c r="G867" s="355"/>
    </row>
    <row r="868" spans="1:7" x14ac:dyDescent="0.25">
      <c r="A868" s="116" t="s">
        <v>179</v>
      </c>
      <c r="B868" s="116" t="str">
        <f t="shared" si="39"/>
        <v>GERTSHEIM</v>
      </c>
      <c r="C868" s="342" t="str">
        <f t="shared" si="40"/>
        <v>à receptionner</v>
      </c>
      <c r="D868" s="117"/>
      <c r="E868" s="348"/>
      <c r="F868" s="349"/>
      <c r="G868" s="355"/>
    </row>
    <row r="869" spans="1:7" x14ac:dyDescent="0.25">
      <c r="A869" s="123" t="s">
        <v>197</v>
      </c>
      <c r="B869" s="123" t="str">
        <f t="shared" si="39"/>
        <v>STRASBOURG</v>
      </c>
      <c r="C869" s="342" t="str">
        <f t="shared" si="40"/>
        <v>chape s42</v>
      </c>
      <c r="D869" s="117"/>
      <c r="E869" s="348"/>
      <c r="F869" s="349"/>
      <c r="G869" s="355"/>
    </row>
    <row r="870" spans="1:7" x14ac:dyDescent="0.25">
      <c r="A870" s="116" t="s">
        <v>280</v>
      </c>
      <c r="B870" s="116" t="str">
        <f t="shared" si="39"/>
        <v>HENGWILLER</v>
      </c>
      <c r="C870" s="342" t="str">
        <f t="shared" si="40"/>
        <v>soubassement</v>
      </c>
      <c r="D870" s="117" t="s">
        <v>228</v>
      </c>
      <c r="E870" s="348">
        <v>49</v>
      </c>
      <c r="F870" s="349"/>
      <c r="G870" s="355"/>
    </row>
    <row r="871" spans="1:7" x14ac:dyDescent="0.25">
      <c r="A871" s="116" t="s">
        <v>198</v>
      </c>
      <c r="B871" s="116" t="str">
        <f t="shared" si="39"/>
        <v>HANGENBIENTEN</v>
      </c>
      <c r="C871" s="342" t="str">
        <f t="shared" si="40"/>
        <v>dalle basse RDC</v>
      </c>
      <c r="D871" s="117"/>
      <c r="E871" s="348"/>
      <c r="F871" s="349"/>
      <c r="G871" s="355"/>
    </row>
    <row r="872" spans="1:7" x14ac:dyDescent="0.25">
      <c r="A872" s="116" t="s">
        <v>281</v>
      </c>
      <c r="B872" s="116" t="str">
        <f t="shared" si="39"/>
        <v>OBERHOFFEN</v>
      </c>
      <c r="C872" s="342" t="str">
        <f t="shared" si="40"/>
        <v>dalle basse RDC</v>
      </c>
      <c r="D872" s="117" t="s">
        <v>228</v>
      </c>
      <c r="E872" s="348">
        <v>49</v>
      </c>
      <c r="F872" s="349"/>
      <c r="G872" s="355"/>
    </row>
    <row r="873" spans="1:7" x14ac:dyDescent="0.25">
      <c r="A873" s="116" t="s">
        <v>199</v>
      </c>
      <c r="B873" s="116" t="str">
        <f t="shared" si="39"/>
        <v>EBERSHEIM</v>
      </c>
      <c r="C873" s="342" t="str">
        <f t="shared" si="40"/>
        <v>couvert</v>
      </c>
      <c r="D873" s="117"/>
      <c r="E873" s="348"/>
      <c r="F873" s="349"/>
      <c r="G873" s="355"/>
    </row>
    <row r="874" spans="1:7" x14ac:dyDescent="0.25">
      <c r="A874" s="116" t="s">
        <v>256</v>
      </c>
      <c r="B874" s="116" t="str">
        <f t="shared" si="39"/>
        <v>DINSHEIM S/ BRUCHE</v>
      </c>
      <c r="C874" s="342" t="str">
        <f t="shared" si="40"/>
        <v>GO fini</v>
      </c>
      <c r="D874" s="117"/>
      <c r="E874" s="348"/>
      <c r="F874" s="349"/>
      <c r="G874" s="355"/>
    </row>
    <row r="875" spans="1:7" x14ac:dyDescent="0.25">
      <c r="A875" s="116" t="s">
        <v>357</v>
      </c>
      <c r="B875" s="116" t="str">
        <f t="shared" si="39"/>
        <v>MOLSHEIM</v>
      </c>
      <c r="C875" s="342" t="str">
        <f t="shared" si="40"/>
        <v>marchés en cours</v>
      </c>
      <c r="D875" s="117"/>
      <c r="E875" s="348"/>
      <c r="F875" s="349"/>
      <c r="G875" s="355"/>
    </row>
    <row r="876" spans="1:7" x14ac:dyDescent="0.25">
      <c r="A876" s="116" t="s">
        <v>200</v>
      </c>
      <c r="B876" s="116" t="str">
        <f t="shared" si="39"/>
        <v>KLEINFRANKENHEIM</v>
      </c>
      <c r="C876" s="342" t="str">
        <f t="shared" si="40"/>
        <v>second œuvre en cours charge client</v>
      </c>
      <c r="D876" s="117"/>
      <c r="E876" s="348"/>
      <c r="F876" s="349"/>
      <c r="G876" s="355"/>
    </row>
    <row r="877" spans="1:7" x14ac:dyDescent="0.25">
      <c r="A877" s="116" t="s">
        <v>161</v>
      </c>
      <c r="B877" s="116" t="str">
        <f t="shared" si="39"/>
        <v>HANGENBIENTEN</v>
      </c>
      <c r="C877" s="342" t="str">
        <f t="shared" si="40"/>
        <v>chape</v>
      </c>
      <c r="D877" s="117"/>
      <c r="E877" s="348"/>
      <c r="F877" s="349"/>
      <c r="G877" s="355"/>
    </row>
    <row r="878" spans="1:7" x14ac:dyDescent="0.25">
      <c r="A878" s="116" t="s">
        <v>185</v>
      </c>
      <c r="B878" s="116" t="str">
        <f t="shared" si="39"/>
        <v>PETERSBACH</v>
      </c>
      <c r="C878" s="342" t="str">
        <f t="shared" si="40"/>
        <v>couvert</v>
      </c>
      <c r="D878" s="117"/>
      <c r="E878" s="348"/>
      <c r="F878" s="349"/>
      <c r="G878" s="355"/>
    </row>
    <row r="879" spans="1:7" x14ac:dyDescent="0.25">
      <c r="A879" s="116" t="s">
        <v>162</v>
      </c>
      <c r="B879" s="116" t="str">
        <f t="shared" si="39"/>
        <v>ENTZHEIM</v>
      </c>
      <c r="C879" s="342" t="str">
        <f t="shared" si="40"/>
        <v>chape</v>
      </c>
      <c r="D879" s="117"/>
      <c r="E879" s="348"/>
      <c r="F879" s="349"/>
      <c r="G879" s="355" t="s">
        <v>215</v>
      </c>
    </row>
    <row r="880" spans="1:7" x14ac:dyDescent="0.25">
      <c r="A880" s="116" t="s">
        <v>152</v>
      </c>
      <c r="B880" s="116" t="str">
        <f t="shared" si="39"/>
        <v>KILSTETT</v>
      </c>
      <c r="C880" s="342" t="str">
        <f t="shared" si="40"/>
        <v>chantier en arrêt</v>
      </c>
      <c r="D880" s="117"/>
      <c r="E880" s="348"/>
      <c r="F880" s="349"/>
      <c r="G880" s="355"/>
    </row>
    <row r="881" spans="1:7" x14ac:dyDescent="0.25">
      <c r="A881" s="116" t="s">
        <v>218</v>
      </c>
      <c r="B881" s="116" t="str">
        <f t="shared" si="39"/>
        <v>ESCHBACH</v>
      </c>
      <c r="C881" s="342" t="str">
        <f t="shared" si="40"/>
        <v>couvert</v>
      </c>
      <c r="D881" s="117"/>
      <c r="E881" s="348">
        <v>38</v>
      </c>
      <c r="F881" s="349"/>
      <c r="G881" s="355"/>
    </row>
    <row r="882" spans="1:7" x14ac:dyDescent="0.25">
      <c r="A882" s="116" t="s">
        <v>163</v>
      </c>
      <c r="B882" s="116" t="str">
        <f t="shared" si="39"/>
        <v>BISCHWILLER</v>
      </c>
      <c r="C882" s="342" t="str">
        <f t="shared" si="40"/>
        <v>chape s42</v>
      </c>
      <c r="D882" s="117"/>
      <c r="E882" s="348"/>
      <c r="F882" s="349"/>
      <c r="G882" s="355"/>
    </row>
    <row r="883" spans="1:7" x14ac:dyDescent="0.25">
      <c r="A883" s="116" t="s">
        <v>153</v>
      </c>
      <c r="B883" s="116" t="str">
        <f t="shared" si="39"/>
        <v>PFETTISHEIM</v>
      </c>
      <c r="C883" s="342" t="str">
        <f t="shared" si="40"/>
        <v>à receptionner</v>
      </c>
      <c r="D883" s="117"/>
      <c r="E883" s="348"/>
      <c r="F883" s="349"/>
      <c r="G883" s="355"/>
    </row>
    <row r="884" spans="1:7" x14ac:dyDescent="0.25">
      <c r="A884" s="116" t="s">
        <v>201</v>
      </c>
      <c r="B884" s="116" t="str">
        <f t="shared" si="39"/>
        <v>KINDWILLER</v>
      </c>
      <c r="C884" s="342" t="str">
        <f t="shared" si="40"/>
        <v>clos couvert</v>
      </c>
      <c r="D884" s="117" t="s">
        <v>267</v>
      </c>
      <c r="E884" s="348">
        <v>42</v>
      </c>
      <c r="F884" s="349"/>
      <c r="G884" s="355"/>
    </row>
    <row r="885" spans="1:7" x14ac:dyDescent="0.25">
      <c r="A885" s="136" t="s">
        <v>180</v>
      </c>
      <c r="B885" s="136" t="str">
        <f t="shared" si="39"/>
        <v>KILSTETT</v>
      </c>
      <c r="C885" s="343" t="str">
        <f t="shared" si="40"/>
        <v>chape s42</v>
      </c>
      <c r="D885" s="137"/>
      <c r="E885" s="348"/>
      <c r="F885" s="349"/>
      <c r="G885" s="355"/>
    </row>
    <row r="886" spans="1:7" x14ac:dyDescent="0.25">
      <c r="A886" s="136" t="s">
        <v>214</v>
      </c>
      <c r="B886" s="136" t="str">
        <f t="shared" si="39"/>
        <v>BUST</v>
      </c>
      <c r="C886" s="137" t="str">
        <f t="shared" si="40"/>
        <v>couvert</v>
      </c>
      <c r="D886" s="137"/>
      <c r="E886" s="348"/>
      <c r="F886" s="349"/>
      <c r="G886" s="355"/>
    </row>
    <row r="887" spans="1:7" x14ac:dyDescent="0.25">
      <c r="A887" s="160" t="s">
        <v>202</v>
      </c>
      <c r="B887" s="160" t="str">
        <f t="shared" si="39"/>
        <v>LUTZELHOUSE</v>
      </c>
      <c r="C887" s="343" t="str">
        <f t="shared" si="40"/>
        <v>charpente</v>
      </c>
      <c r="D887" s="343" t="s">
        <v>228</v>
      </c>
      <c r="E887" s="348">
        <v>50</v>
      </c>
      <c r="F887" s="348"/>
      <c r="G887" s="356"/>
    </row>
    <row r="888" spans="1:7" x14ac:dyDescent="0.25">
      <c r="A888" s="160" t="s">
        <v>282</v>
      </c>
      <c r="B888" s="160" t="str">
        <f t="shared" si="39"/>
        <v>BREUSCHWICKERSHEIM</v>
      </c>
      <c r="C888" s="343" t="str">
        <f t="shared" si="40"/>
        <v>fondations</v>
      </c>
      <c r="D888" s="343"/>
      <c r="E888" s="348"/>
      <c r="F888" s="348"/>
      <c r="G888" s="356"/>
    </row>
    <row r="889" spans="1:7" x14ac:dyDescent="0.25">
      <c r="A889" s="160" t="s">
        <v>363</v>
      </c>
      <c r="B889" s="160" t="str">
        <f t="shared" si="39"/>
        <v>GAMBSHEIM</v>
      </c>
      <c r="C889" s="343" t="str">
        <f t="shared" si="40"/>
        <v>marchés en cours</v>
      </c>
      <c r="D889" s="343"/>
      <c r="E889" s="348"/>
      <c r="F889" s="348"/>
      <c r="G889" s="356"/>
    </row>
    <row r="890" spans="1:7" x14ac:dyDescent="0.25">
      <c r="A890" s="160" t="s">
        <v>364</v>
      </c>
      <c r="B890" s="160" t="str">
        <f t="shared" si="39"/>
        <v>OBERLAUTERBACH</v>
      </c>
      <c r="C890" s="343" t="str">
        <f t="shared" si="40"/>
        <v>marchés S43</v>
      </c>
      <c r="D890" s="343" t="s">
        <v>228</v>
      </c>
      <c r="E890" s="348">
        <v>44</v>
      </c>
      <c r="F890" s="348"/>
      <c r="G890" s="356"/>
    </row>
    <row r="891" spans="1:7" x14ac:dyDescent="0.25">
      <c r="A891" s="160" t="s">
        <v>181</v>
      </c>
      <c r="B891" s="161" t="str">
        <f t="shared" si="39"/>
        <v>OBERMODERN-ZUTZENDORF</v>
      </c>
      <c r="C891" s="343" t="str">
        <f>C846</f>
        <v>chape s41</v>
      </c>
      <c r="D891" s="343"/>
      <c r="E891" s="348"/>
      <c r="F891" s="348"/>
      <c r="G891" s="356"/>
    </row>
    <row r="892" spans="1:7" x14ac:dyDescent="0.25">
      <c r="A892" s="160" t="s">
        <v>164</v>
      </c>
      <c r="B892" s="161" t="str">
        <f t="shared" si="39"/>
        <v>WILDERSBACH</v>
      </c>
      <c r="C892" s="343" t="str">
        <f>C847</f>
        <v>à receptionner</v>
      </c>
      <c r="D892" s="343"/>
      <c r="E892" s="348"/>
      <c r="F892" s="348"/>
      <c r="G892" s="356"/>
    </row>
    <row r="893" spans="1:7" x14ac:dyDescent="0.25">
      <c r="A893" s="160" t="s">
        <v>248</v>
      </c>
      <c r="B893" s="161" t="str">
        <f t="shared" si="39"/>
        <v>AVENHEIM</v>
      </c>
      <c r="C893" s="343" t="str">
        <f>C848</f>
        <v>dalle basse RDC</v>
      </c>
      <c r="D893" s="343"/>
      <c r="E893" s="348"/>
      <c r="F893" s="348"/>
      <c r="G893" s="356"/>
    </row>
    <row r="894" spans="1:7" x14ac:dyDescent="0.25">
      <c r="A894" s="160"/>
      <c r="B894" s="343"/>
      <c r="C894" s="343"/>
      <c r="D894" s="148"/>
      <c r="E894" s="348"/>
      <c r="F894" s="348"/>
    </row>
    <row r="898" spans="1:8" x14ac:dyDescent="0.25">
      <c r="A898" s="407" t="s">
        <v>373</v>
      </c>
      <c r="B898" s="407"/>
      <c r="C898" s="407"/>
      <c r="D898" s="407"/>
      <c r="E898" s="407"/>
      <c r="F898" s="407"/>
      <c r="G898" s="407"/>
    </row>
    <row r="899" spans="1:8" ht="15.75" thickBot="1" x14ac:dyDescent="0.3">
      <c r="A899" s="407" t="s">
        <v>374</v>
      </c>
      <c r="B899" s="407"/>
      <c r="C899" s="407"/>
      <c r="D899" s="407"/>
      <c r="E899" s="407"/>
      <c r="F899" s="407"/>
      <c r="G899" s="407"/>
    </row>
    <row r="900" spans="1:8" ht="15" customHeight="1" x14ac:dyDescent="0.25">
      <c r="C900" s="401" t="s">
        <v>80</v>
      </c>
      <c r="D900" s="402"/>
    </row>
    <row r="901" spans="1:8" ht="6.75" customHeight="1" x14ac:dyDescent="0.25">
      <c r="C901" s="403"/>
      <c r="D901" s="404"/>
    </row>
    <row r="902" spans="1:8" ht="27" customHeight="1" thickBot="1" x14ac:dyDescent="0.3">
      <c r="C902" s="405"/>
      <c r="D902" s="406"/>
    </row>
    <row r="903" spans="1:8" ht="27" customHeight="1" thickBot="1" x14ac:dyDescent="0.3">
      <c r="C903" s="121" t="s">
        <v>1</v>
      </c>
      <c r="D903" s="113">
        <f ca="1">D723</f>
        <v>41</v>
      </c>
    </row>
    <row r="904" spans="1:8" ht="15" customHeight="1" x14ac:dyDescent="0.25">
      <c r="C904" s="124"/>
      <c r="H904" s="119"/>
    </row>
    <row r="905" spans="1:8" ht="10.5" customHeight="1" x14ac:dyDescent="0.25">
      <c r="C905" s="109"/>
      <c r="D905" s="109"/>
      <c r="E905" s="348"/>
      <c r="F905" s="348"/>
    </row>
    <row r="906" spans="1:8" ht="21.75" customHeight="1" x14ac:dyDescent="0.4">
      <c r="B906" s="114" t="s">
        <v>77</v>
      </c>
      <c r="C906" s="114" t="s">
        <v>130</v>
      </c>
      <c r="D906" s="344" t="s">
        <v>129</v>
      </c>
      <c r="E906" s="141"/>
      <c r="F906" s="348"/>
    </row>
    <row r="907" spans="1:8" ht="16.5" customHeight="1" x14ac:dyDescent="0.3">
      <c r="C907" s="110"/>
      <c r="D907" s="109"/>
      <c r="E907" s="348"/>
      <c r="F907" s="348"/>
    </row>
    <row r="908" spans="1:8" s="138" customFormat="1" ht="16.5" customHeight="1" x14ac:dyDescent="0.25">
      <c r="A908" s="369" t="s">
        <v>78</v>
      </c>
      <c r="B908" s="369" t="s">
        <v>294</v>
      </c>
      <c r="C908" s="141" t="s">
        <v>79</v>
      </c>
      <c r="D908" s="112" t="s">
        <v>375</v>
      </c>
      <c r="E908" s="348" t="s">
        <v>352</v>
      </c>
      <c r="F908" s="348" t="s">
        <v>369</v>
      </c>
      <c r="G908" s="141" t="s">
        <v>126</v>
      </c>
    </row>
    <row r="909" spans="1:8" ht="16.5" customHeight="1" x14ac:dyDescent="0.25">
      <c r="A909" s="111" t="s">
        <v>213</v>
      </c>
      <c r="B909" s="111" t="str">
        <f t="shared" ref="B909:B938" si="41">B10</f>
        <v>PFETTISHEIM</v>
      </c>
      <c r="C909" s="342" t="str">
        <f t="shared" ref="C909:C935" si="42">C864</f>
        <v>pignons</v>
      </c>
      <c r="D909" s="140"/>
      <c r="E909" s="348"/>
      <c r="F909" s="348"/>
      <c r="G909" s="354"/>
    </row>
    <row r="910" spans="1:8" x14ac:dyDescent="0.25">
      <c r="A910" s="116" t="s">
        <v>278</v>
      </c>
      <c r="B910" s="116" t="str">
        <f t="shared" si="41"/>
        <v>BLIENSCHWILLER</v>
      </c>
      <c r="C910" s="342" t="str">
        <f t="shared" si="42"/>
        <v>fondations</v>
      </c>
      <c r="D910" s="117"/>
      <c r="E910" s="348"/>
      <c r="F910" s="349"/>
      <c r="G910" s="355"/>
    </row>
    <row r="911" spans="1:8" x14ac:dyDescent="0.25">
      <c r="A911" s="116" t="s">
        <v>259</v>
      </c>
      <c r="B911" s="116" t="str">
        <f t="shared" si="41"/>
        <v>BERSTHEIM</v>
      </c>
      <c r="C911" s="342" t="str">
        <f t="shared" si="42"/>
        <v>dalle basse RDC</v>
      </c>
      <c r="D911" s="117" t="s">
        <v>222</v>
      </c>
      <c r="E911" s="348">
        <v>2</v>
      </c>
      <c r="F911" s="349"/>
      <c r="G911" s="355"/>
    </row>
    <row r="912" spans="1:8" x14ac:dyDescent="0.25">
      <c r="A912" s="116" t="s">
        <v>279</v>
      </c>
      <c r="B912" s="116" t="str">
        <f t="shared" si="41"/>
        <v>FRIEDOLSHEIM</v>
      </c>
      <c r="C912" s="342" t="str">
        <f t="shared" si="42"/>
        <v>dalle basse RDC</v>
      </c>
      <c r="D912" s="117"/>
      <c r="E912" s="348"/>
      <c r="F912" s="349"/>
      <c r="G912" s="355"/>
    </row>
    <row r="913" spans="1:7" x14ac:dyDescent="0.25">
      <c r="A913" s="116" t="s">
        <v>179</v>
      </c>
      <c r="B913" s="116" t="str">
        <f t="shared" si="41"/>
        <v>GERTSHEIM</v>
      </c>
      <c r="C913" s="342" t="str">
        <f t="shared" si="42"/>
        <v>à receptionner</v>
      </c>
      <c r="D913" s="117"/>
      <c r="E913" s="348"/>
      <c r="F913" s="349"/>
      <c r="G913" s="355"/>
    </row>
    <row r="914" spans="1:7" x14ac:dyDescent="0.25">
      <c r="A914" s="116" t="s">
        <v>197</v>
      </c>
      <c r="B914" s="116" t="str">
        <f t="shared" si="41"/>
        <v>STRASBOURG</v>
      </c>
      <c r="C914" s="342" t="str">
        <f t="shared" si="42"/>
        <v>chape s42</v>
      </c>
      <c r="D914" s="117"/>
      <c r="E914" s="348"/>
      <c r="F914" s="349"/>
      <c r="G914" s="355"/>
    </row>
    <row r="915" spans="1:7" x14ac:dyDescent="0.25">
      <c r="A915" s="116" t="s">
        <v>280</v>
      </c>
      <c r="B915" s="116" t="str">
        <f t="shared" si="41"/>
        <v>HENGWILLER</v>
      </c>
      <c r="C915" s="342" t="str">
        <f t="shared" si="42"/>
        <v>soubassement</v>
      </c>
      <c r="D915" s="117"/>
      <c r="E915" s="348"/>
      <c r="F915" s="349"/>
      <c r="G915" s="355"/>
    </row>
    <row r="916" spans="1:7" x14ac:dyDescent="0.25">
      <c r="A916" s="116" t="s">
        <v>198</v>
      </c>
      <c r="B916" s="116" t="str">
        <f t="shared" si="41"/>
        <v>HANGENBIENTEN</v>
      </c>
      <c r="C916" s="342" t="str">
        <f t="shared" si="42"/>
        <v>dalle basse RDC</v>
      </c>
      <c r="D916" s="117"/>
      <c r="E916" s="348"/>
      <c r="F916" s="349"/>
      <c r="G916" s="355"/>
    </row>
    <row r="917" spans="1:7" x14ac:dyDescent="0.25">
      <c r="A917" s="116" t="s">
        <v>281</v>
      </c>
      <c r="B917" s="116" t="str">
        <f t="shared" si="41"/>
        <v>OBERHOFFEN</v>
      </c>
      <c r="C917" s="342" t="str">
        <f t="shared" si="42"/>
        <v>dalle basse RDC</v>
      </c>
      <c r="D917" s="117" t="s">
        <v>222</v>
      </c>
      <c r="E917" s="348">
        <v>3</v>
      </c>
      <c r="F917" s="349"/>
      <c r="G917" s="355"/>
    </row>
    <row r="918" spans="1:7" x14ac:dyDescent="0.25">
      <c r="A918" s="116" t="s">
        <v>199</v>
      </c>
      <c r="B918" s="116" t="str">
        <f t="shared" si="41"/>
        <v>EBERSHEIM</v>
      </c>
      <c r="C918" s="342" t="str">
        <f t="shared" si="42"/>
        <v>couvert</v>
      </c>
      <c r="D918" s="117"/>
      <c r="E918" s="348"/>
      <c r="F918" s="349"/>
      <c r="G918" s="355"/>
    </row>
    <row r="919" spans="1:7" x14ac:dyDescent="0.25">
      <c r="A919" s="116" t="s">
        <v>256</v>
      </c>
      <c r="B919" s="116" t="str">
        <f t="shared" si="41"/>
        <v>DINSHEIM S/ BRUCHE</v>
      </c>
      <c r="C919" s="342" t="str">
        <f t="shared" si="42"/>
        <v>GO fini</v>
      </c>
      <c r="D919" s="117"/>
      <c r="E919" s="348"/>
      <c r="F919" s="349"/>
      <c r="G919" s="355"/>
    </row>
    <row r="920" spans="1:7" x14ac:dyDescent="0.25">
      <c r="A920" s="116" t="s">
        <v>357</v>
      </c>
      <c r="B920" s="116" t="str">
        <f t="shared" si="41"/>
        <v>MOLSHEIM</v>
      </c>
      <c r="C920" s="342" t="str">
        <f t="shared" si="42"/>
        <v>marchés en cours</v>
      </c>
      <c r="D920" s="117"/>
      <c r="E920" s="348"/>
      <c r="F920" s="349"/>
      <c r="G920" s="355"/>
    </row>
    <row r="921" spans="1:7" x14ac:dyDescent="0.25">
      <c r="A921" s="116" t="s">
        <v>200</v>
      </c>
      <c r="B921" s="116" t="str">
        <f t="shared" si="41"/>
        <v>KLEINFRANKENHEIM</v>
      </c>
      <c r="C921" s="342" t="str">
        <f t="shared" si="42"/>
        <v>second œuvre en cours charge client</v>
      </c>
      <c r="D921" s="117"/>
      <c r="E921" s="348"/>
      <c r="F921" s="349"/>
      <c r="G921" s="355"/>
    </row>
    <row r="922" spans="1:7" x14ac:dyDescent="0.25">
      <c r="A922" s="116" t="s">
        <v>161</v>
      </c>
      <c r="B922" s="116" t="str">
        <f t="shared" si="41"/>
        <v>HANGENBIENTEN</v>
      </c>
      <c r="C922" s="342" t="str">
        <f t="shared" si="42"/>
        <v>chape</v>
      </c>
      <c r="D922" s="117" t="s">
        <v>222</v>
      </c>
      <c r="E922" s="348">
        <v>45</v>
      </c>
      <c r="F922" s="349"/>
      <c r="G922" s="355"/>
    </row>
    <row r="923" spans="1:7" ht="14.25" customHeight="1" x14ac:dyDescent="0.25">
      <c r="A923" s="116" t="s">
        <v>185</v>
      </c>
      <c r="B923" s="116" t="str">
        <f t="shared" si="41"/>
        <v>PETERSBACH</v>
      </c>
      <c r="C923" s="342" t="str">
        <f t="shared" si="42"/>
        <v>couvert</v>
      </c>
      <c r="D923" s="117"/>
      <c r="E923" s="348"/>
      <c r="F923" s="349"/>
      <c r="G923" s="355"/>
    </row>
    <row r="924" spans="1:7" x14ac:dyDescent="0.25">
      <c r="A924" s="116" t="s">
        <v>162</v>
      </c>
      <c r="B924" s="116" t="str">
        <f t="shared" si="41"/>
        <v>ENTZHEIM</v>
      </c>
      <c r="C924" s="342" t="str">
        <f t="shared" si="42"/>
        <v>chape</v>
      </c>
      <c r="D924" s="117"/>
      <c r="E924" s="348"/>
      <c r="F924" s="349"/>
      <c r="G924" s="355" t="s">
        <v>215</v>
      </c>
    </row>
    <row r="925" spans="1:7" x14ac:dyDescent="0.25">
      <c r="A925" s="116" t="s">
        <v>152</v>
      </c>
      <c r="B925" s="116" t="str">
        <f t="shared" si="41"/>
        <v>KILSTETT</v>
      </c>
      <c r="C925" s="342" t="str">
        <f t="shared" si="42"/>
        <v>chantier en arrêt</v>
      </c>
      <c r="D925" s="117" t="s">
        <v>222</v>
      </c>
      <c r="E925" s="348">
        <v>47</v>
      </c>
      <c r="F925" s="349"/>
      <c r="G925" s="355"/>
    </row>
    <row r="926" spans="1:7" x14ac:dyDescent="0.25">
      <c r="A926" s="116" t="s">
        <v>218</v>
      </c>
      <c r="B926" s="116" t="str">
        <f t="shared" si="41"/>
        <v>ESCHBACH</v>
      </c>
      <c r="C926" s="342" t="str">
        <f t="shared" si="42"/>
        <v>couvert</v>
      </c>
      <c r="D926" s="117" t="s">
        <v>127</v>
      </c>
      <c r="E926" s="348">
        <v>41</v>
      </c>
      <c r="F926" s="349"/>
      <c r="G926" s="355"/>
    </row>
    <row r="927" spans="1:7" x14ac:dyDescent="0.25">
      <c r="A927" s="116" t="s">
        <v>163</v>
      </c>
      <c r="B927" s="116" t="str">
        <f t="shared" si="41"/>
        <v>BISCHWILLER</v>
      </c>
      <c r="C927" s="342" t="str">
        <f t="shared" si="42"/>
        <v>chape s42</v>
      </c>
      <c r="D927" s="117"/>
      <c r="E927" s="348"/>
      <c r="F927" s="349"/>
      <c r="G927" s="355"/>
    </row>
    <row r="928" spans="1:7" x14ac:dyDescent="0.25">
      <c r="A928" s="116" t="s">
        <v>153</v>
      </c>
      <c r="B928" s="116" t="str">
        <f t="shared" si="41"/>
        <v>PFETTISHEIM</v>
      </c>
      <c r="C928" s="342" t="str">
        <f t="shared" si="42"/>
        <v>à receptionner</v>
      </c>
      <c r="D928" s="117" t="s">
        <v>127</v>
      </c>
      <c r="E928" s="348">
        <v>44</v>
      </c>
      <c r="F928" s="349"/>
      <c r="G928" s="355"/>
    </row>
    <row r="929" spans="1:7" x14ac:dyDescent="0.25">
      <c r="A929" s="116" t="s">
        <v>201</v>
      </c>
      <c r="B929" s="116" t="str">
        <f t="shared" si="41"/>
        <v>KINDWILLER</v>
      </c>
      <c r="C929" s="342" t="str">
        <f t="shared" si="42"/>
        <v>clos couvert</v>
      </c>
      <c r="D929" s="117" t="s">
        <v>103</v>
      </c>
      <c r="E929" s="348">
        <v>44</v>
      </c>
      <c r="F929" s="349"/>
      <c r="G929" s="355"/>
    </row>
    <row r="930" spans="1:7" x14ac:dyDescent="0.25">
      <c r="A930" s="136" t="s">
        <v>180</v>
      </c>
      <c r="B930" s="136" t="str">
        <f t="shared" si="41"/>
        <v>KILSTETT</v>
      </c>
      <c r="C930" s="343" t="str">
        <f t="shared" si="42"/>
        <v>chape s42</v>
      </c>
      <c r="D930" s="137" t="s">
        <v>222</v>
      </c>
      <c r="E930" s="348">
        <v>46</v>
      </c>
      <c r="F930" s="349"/>
      <c r="G930" s="355"/>
    </row>
    <row r="931" spans="1:7" x14ac:dyDescent="0.25">
      <c r="A931" s="136" t="s">
        <v>214</v>
      </c>
      <c r="B931" s="136" t="str">
        <f t="shared" si="41"/>
        <v>BUST</v>
      </c>
      <c r="C931" s="137" t="str">
        <f t="shared" si="42"/>
        <v>couvert</v>
      </c>
      <c r="D931" s="137"/>
      <c r="E931" s="348"/>
      <c r="F931" s="349"/>
      <c r="G931" s="355"/>
    </row>
    <row r="932" spans="1:7" x14ac:dyDescent="0.25">
      <c r="A932" s="160" t="s">
        <v>202</v>
      </c>
      <c r="B932" s="160" t="str">
        <f t="shared" si="41"/>
        <v>LUTZELHOUSE</v>
      </c>
      <c r="C932" s="343" t="str">
        <f t="shared" si="42"/>
        <v>charpente</v>
      </c>
      <c r="D932" s="343"/>
      <c r="E932" s="348"/>
      <c r="F932" s="348"/>
      <c r="G932" s="356"/>
    </row>
    <row r="933" spans="1:7" x14ac:dyDescent="0.25">
      <c r="A933" s="160" t="s">
        <v>282</v>
      </c>
      <c r="B933" s="160" t="str">
        <f t="shared" si="41"/>
        <v>BREUSCHWICKERSHEIM</v>
      </c>
      <c r="C933" s="343" t="str">
        <f t="shared" si="42"/>
        <v>fondations</v>
      </c>
      <c r="D933" s="343" t="s">
        <v>345</v>
      </c>
      <c r="E933" s="348">
        <v>42</v>
      </c>
      <c r="F933" s="348"/>
      <c r="G933" s="356"/>
    </row>
    <row r="934" spans="1:7" x14ac:dyDescent="0.25">
      <c r="A934" s="160" t="s">
        <v>363</v>
      </c>
      <c r="B934" s="160" t="str">
        <f t="shared" si="41"/>
        <v>GAMBSHEIM</v>
      </c>
      <c r="C934" s="343" t="str">
        <f t="shared" si="42"/>
        <v>marchés en cours</v>
      </c>
      <c r="D934" s="343"/>
      <c r="E934" s="348"/>
      <c r="F934" s="348"/>
      <c r="G934" s="356"/>
    </row>
    <row r="935" spans="1:7" x14ac:dyDescent="0.25">
      <c r="A935" s="160" t="s">
        <v>364</v>
      </c>
      <c r="B935" s="160" t="str">
        <f t="shared" si="41"/>
        <v>OBERLAUTERBACH</v>
      </c>
      <c r="C935" s="343" t="str">
        <f t="shared" si="42"/>
        <v>marchés S43</v>
      </c>
      <c r="D935" s="343"/>
      <c r="E935" s="348"/>
      <c r="F935" s="348"/>
      <c r="G935" s="356"/>
    </row>
    <row r="936" spans="1:7" x14ac:dyDescent="0.25">
      <c r="A936" s="160" t="s">
        <v>181</v>
      </c>
      <c r="B936" s="161" t="str">
        <f t="shared" si="41"/>
        <v>OBERMODERN-ZUTZENDORF</v>
      </c>
      <c r="C936" s="343" t="str">
        <f>C891</f>
        <v>chape s41</v>
      </c>
      <c r="D936" s="343"/>
      <c r="E936" s="348"/>
      <c r="F936" s="348"/>
      <c r="G936" s="356"/>
    </row>
    <row r="937" spans="1:7" x14ac:dyDescent="0.25">
      <c r="A937" s="160" t="s">
        <v>164</v>
      </c>
      <c r="B937" s="161" t="str">
        <f t="shared" si="41"/>
        <v>WILDERSBACH</v>
      </c>
      <c r="C937" s="343" t="str">
        <f>C892</f>
        <v>à receptionner</v>
      </c>
      <c r="D937" s="343"/>
      <c r="E937" s="348"/>
      <c r="F937" s="348"/>
      <c r="G937" s="356"/>
    </row>
    <row r="938" spans="1:7" x14ac:dyDescent="0.25">
      <c r="A938" s="160" t="s">
        <v>248</v>
      </c>
      <c r="B938" s="161" t="str">
        <f t="shared" si="41"/>
        <v>AVENHEIM</v>
      </c>
      <c r="C938" s="343" t="str">
        <f>C893</f>
        <v>dalle basse RDC</v>
      </c>
      <c r="D938" s="343"/>
      <c r="E938" s="348"/>
      <c r="F938" s="348"/>
      <c r="G938" s="356"/>
    </row>
    <row r="939" spans="1:7" x14ac:dyDescent="0.25">
      <c r="A939" s="160"/>
      <c r="B939" s="343"/>
      <c r="C939" s="343"/>
      <c r="D939" s="148"/>
      <c r="E939" s="348"/>
      <c r="F939" s="348"/>
    </row>
    <row r="943" spans="1:7" x14ac:dyDescent="0.25">
      <c r="A943" s="407" t="s">
        <v>373</v>
      </c>
      <c r="B943" s="407"/>
      <c r="C943" s="407"/>
      <c r="D943" s="407"/>
      <c r="E943" s="407"/>
      <c r="F943" s="407"/>
      <c r="G943" s="407"/>
    </row>
    <row r="944" spans="1:7" ht="15.75" thickBot="1" x14ac:dyDescent="0.3">
      <c r="A944" s="407" t="s">
        <v>374</v>
      </c>
      <c r="B944" s="407"/>
      <c r="C944" s="407"/>
      <c r="D944" s="407"/>
      <c r="E944" s="407"/>
      <c r="F944" s="407"/>
      <c r="G944" s="407"/>
    </row>
    <row r="945" spans="1:8" ht="15" customHeight="1" x14ac:dyDescent="0.25">
      <c r="C945" s="401" t="s">
        <v>80</v>
      </c>
      <c r="D945" s="402"/>
    </row>
    <row r="946" spans="1:8" ht="6.75" customHeight="1" x14ac:dyDescent="0.25">
      <c r="C946" s="403"/>
      <c r="D946" s="404"/>
    </row>
    <row r="947" spans="1:8" ht="27" customHeight="1" thickBot="1" x14ac:dyDescent="0.3">
      <c r="C947" s="405"/>
      <c r="D947" s="406"/>
    </row>
    <row r="948" spans="1:8" ht="27" customHeight="1" thickBot="1" x14ac:dyDescent="0.3">
      <c r="C948" s="121" t="s">
        <v>1</v>
      </c>
      <c r="D948" s="113">
        <f ca="1">D768</f>
        <v>41</v>
      </c>
    </row>
    <row r="949" spans="1:8" ht="15" customHeight="1" x14ac:dyDescent="0.25">
      <c r="C949" s="121"/>
      <c r="H949" s="119"/>
    </row>
    <row r="950" spans="1:8" ht="10.5" customHeight="1" x14ac:dyDescent="0.25">
      <c r="C950" s="109"/>
      <c r="D950" s="109"/>
      <c r="E950" s="348"/>
      <c r="F950" s="348"/>
    </row>
    <row r="951" spans="1:8" ht="21.75" customHeight="1" x14ac:dyDescent="0.4">
      <c r="B951" s="114" t="s">
        <v>77</v>
      </c>
      <c r="C951" s="114" t="s">
        <v>42</v>
      </c>
      <c r="D951" s="342" t="s">
        <v>203</v>
      </c>
      <c r="E951" s="141"/>
      <c r="F951" s="348"/>
    </row>
    <row r="952" spans="1:8" ht="16.5" customHeight="1" x14ac:dyDescent="0.3">
      <c r="C952" s="110"/>
      <c r="D952" s="109"/>
      <c r="E952" s="348"/>
      <c r="F952" s="348"/>
    </row>
    <row r="953" spans="1:8" s="138" customFormat="1" ht="16.5" customHeight="1" x14ac:dyDescent="0.25">
      <c r="A953" s="369" t="s">
        <v>78</v>
      </c>
      <c r="B953" s="369" t="s">
        <v>294</v>
      </c>
      <c r="C953" s="141" t="s">
        <v>79</v>
      </c>
      <c r="D953" s="112" t="s">
        <v>375</v>
      </c>
      <c r="E953" s="348" t="s">
        <v>352</v>
      </c>
      <c r="F953" s="348" t="s">
        <v>369</v>
      </c>
      <c r="G953" s="141" t="s">
        <v>126</v>
      </c>
    </row>
    <row r="954" spans="1:8" ht="16.5" customHeight="1" x14ac:dyDescent="0.25">
      <c r="A954" s="111" t="s">
        <v>213</v>
      </c>
      <c r="B954" s="111" t="str">
        <f t="shared" ref="B954:B983" si="43">B10</f>
        <v>PFETTISHEIM</v>
      </c>
      <c r="C954" s="342" t="str">
        <f t="shared" ref="C954:C980" si="44">C909</f>
        <v>pignons</v>
      </c>
      <c r="D954" s="140"/>
      <c r="E954" s="348"/>
      <c r="F954" s="348"/>
      <c r="G954" s="354"/>
    </row>
    <row r="955" spans="1:8" x14ac:dyDescent="0.25">
      <c r="A955" s="116" t="s">
        <v>278</v>
      </c>
      <c r="B955" s="116" t="str">
        <f t="shared" si="43"/>
        <v>BLIENSCHWILLER</v>
      </c>
      <c r="C955" s="342" t="str">
        <f t="shared" si="44"/>
        <v>fondations</v>
      </c>
      <c r="D955" s="117" t="s">
        <v>346</v>
      </c>
      <c r="E955" s="348">
        <v>50</v>
      </c>
      <c r="F955" s="349"/>
      <c r="G955" s="355"/>
    </row>
    <row r="956" spans="1:8" x14ac:dyDescent="0.25">
      <c r="A956" s="116" t="s">
        <v>259</v>
      </c>
      <c r="B956" s="116" t="str">
        <f t="shared" si="43"/>
        <v>BERSTHEIM</v>
      </c>
      <c r="C956" s="342" t="str">
        <f t="shared" si="44"/>
        <v>dalle basse RDC</v>
      </c>
      <c r="D956" s="117"/>
      <c r="E956" s="348"/>
      <c r="F956" s="349"/>
      <c r="G956" s="355"/>
    </row>
    <row r="957" spans="1:8" x14ac:dyDescent="0.25">
      <c r="A957" s="116" t="s">
        <v>279</v>
      </c>
      <c r="B957" s="116" t="str">
        <f t="shared" si="43"/>
        <v>FRIEDOLSHEIM</v>
      </c>
      <c r="C957" s="342" t="str">
        <f t="shared" si="44"/>
        <v>dalle basse RDC</v>
      </c>
      <c r="D957" s="117" t="s">
        <v>346</v>
      </c>
      <c r="E957" s="348">
        <v>46</v>
      </c>
      <c r="F957" s="349"/>
      <c r="G957" s="355"/>
    </row>
    <row r="958" spans="1:8" x14ac:dyDescent="0.25">
      <c r="A958" s="116" t="s">
        <v>179</v>
      </c>
      <c r="B958" s="116" t="str">
        <f t="shared" si="43"/>
        <v>GERTSHEIM</v>
      </c>
      <c r="C958" s="342" t="str">
        <f t="shared" si="44"/>
        <v>à receptionner</v>
      </c>
      <c r="D958" s="117"/>
      <c r="E958" s="348"/>
      <c r="F958" s="349"/>
      <c r="G958" s="355"/>
    </row>
    <row r="959" spans="1:8" x14ac:dyDescent="0.25">
      <c r="A959" s="116" t="s">
        <v>197</v>
      </c>
      <c r="B959" s="116" t="str">
        <f t="shared" si="43"/>
        <v>STRASBOURG</v>
      </c>
      <c r="C959" s="342" t="str">
        <f t="shared" si="44"/>
        <v>chape s42</v>
      </c>
      <c r="D959" s="117"/>
      <c r="E959" s="348"/>
      <c r="F959" s="349"/>
      <c r="G959" s="355"/>
    </row>
    <row r="960" spans="1:8" x14ac:dyDescent="0.25">
      <c r="A960" s="116" t="s">
        <v>280</v>
      </c>
      <c r="B960" s="116" t="str">
        <f t="shared" si="43"/>
        <v>HENGWILLER</v>
      </c>
      <c r="C960" s="342" t="str">
        <f t="shared" si="44"/>
        <v>soubassement</v>
      </c>
      <c r="D960" s="117"/>
      <c r="E960" s="348"/>
      <c r="F960" s="349"/>
      <c r="G960" s="355"/>
    </row>
    <row r="961" spans="1:7" x14ac:dyDescent="0.25">
      <c r="A961" s="116" t="s">
        <v>198</v>
      </c>
      <c r="B961" s="116" t="str">
        <f t="shared" si="43"/>
        <v>HANGENBIENTEN</v>
      </c>
      <c r="C961" s="342" t="str">
        <f t="shared" si="44"/>
        <v>dalle basse RDC</v>
      </c>
      <c r="D961" s="117"/>
      <c r="E961" s="348"/>
      <c r="F961" s="349"/>
      <c r="G961" s="355"/>
    </row>
    <row r="962" spans="1:7" x14ac:dyDescent="0.25">
      <c r="A962" s="116" t="s">
        <v>281</v>
      </c>
      <c r="B962" s="116" t="str">
        <f t="shared" si="43"/>
        <v>OBERHOFFEN</v>
      </c>
      <c r="C962" s="342" t="str">
        <f t="shared" si="44"/>
        <v>dalle basse RDC</v>
      </c>
      <c r="D962" s="117"/>
      <c r="E962" s="348"/>
      <c r="F962" s="349"/>
      <c r="G962" s="355"/>
    </row>
    <row r="963" spans="1:7" x14ac:dyDescent="0.25">
      <c r="A963" s="116" t="s">
        <v>199</v>
      </c>
      <c r="B963" s="116" t="str">
        <f t="shared" si="43"/>
        <v>EBERSHEIM</v>
      </c>
      <c r="C963" s="342" t="str">
        <f t="shared" si="44"/>
        <v>couvert</v>
      </c>
      <c r="D963" s="117"/>
      <c r="E963" s="348"/>
      <c r="F963" s="349"/>
      <c r="G963" s="355"/>
    </row>
    <row r="964" spans="1:7" x14ac:dyDescent="0.25">
      <c r="A964" s="116" t="s">
        <v>256</v>
      </c>
      <c r="B964" s="116" t="str">
        <f t="shared" si="43"/>
        <v>DINSHEIM S/ BRUCHE</v>
      </c>
      <c r="C964" s="342" t="str">
        <f t="shared" si="44"/>
        <v>GO fini</v>
      </c>
      <c r="D964" s="117"/>
      <c r="E964" s="348"/>
      <c r="F964" s="349"/>
      <c r="G964" s="355"/>
    </row>
    <row r="965" spans="1:7" x14ac:dyDescent="0.25">
      <c r="A965" s="116" t="s">
        <v>357</v>
      </c>
      <c r="B965" s="116" t="str">
        <f t="shared" si="43"/>
        <v>MOLSHEIM</v>
      </c>
      <c r="C965" s="342" t="str">
        <f t="shared" si="44"/>
        <v>marchés en cours</v>
      </c>
      <c r="D965" s="117"/>
      <c r="E965" s="348"/>
      <c r="F965" s="349"/>
      <c r="G965" s="355"/>
    </row>
    <row r="966" spans="1:7" x14ac:dyDescent="0.25">
      <c r="A966" s="116" t="s">
        <v>200</v>
      </c>
      <c r="B966" s="116" t="str">
        <f t="shared" si="43"/>
        <v>KLEINFRANKENHEIM</v>
      </c>
      <c r="C966" s="342" t="str">
        <f t="shared" si="44"/>
        <v>second œuvre en cours charge client</v>
      </c>
      <c r="D966" s="117"/>
      <c r="E966" s="348"/>
      <c r="F966" s="349"/>
      <c r="G966" s="355"/>
    </row>
    <row r="967" spans="1:7" x14ac:dyDescent="0.25">
      <c r="A967" s="116" t="s">
        <v>161</v>
      </c>
      <c r="B967" s="116" t="str">
        <f t="shared" si="43"/>
        <v>HANGENBIENTEN</v>
      </c>
      <c r="C967" s="342" t="str">
        <f t="shared" si="44"/>
        <v>chape</v>
      </c>
      <c r="D967" s="117"/>
      <c r="E967" s="348"/>
      <c r="F967" s="349"/>
      <c r="G967" s="355"/>
    </row>
    <row r="968" spans="1:7" x14ac:dyDescent="0.25">
      <c r="A968" s="116" t="s">
        <v>185</v>
      </c>
      <c r="B968" s="116" t="str">
        <f t="shared" si="43"/>
        <v>PETERSBACH</v>
      </c>
      <c r="C968" s="342" t="str">
        <f t="shared" si="44"/>
        <v>couvert</v>
      </c>
      <c r="D968" s="117"/>
      <c r="E968" s="348"/>
      <c r="F968" s="349"/>
      <c r="G968" s="355"/>
    </row>
    <row r="969" spans="1:7" x14ac:dyDescent="0.25">
      <c r="A969" s="116" t="s">
        <v>162</v>
      </c>
      <c r="B969" s="116" t="str">
        <f t="shared" si="43"/>
        <v>ENTZHEIM</v>
      </c>
      <c r="C969" s="342" t="str">
        <f t="shared" si="44"/>
        <v>chape</v>
      </c>
      <c r="D969" s="117"/>
      <c r="E969" s="348"/>
      <c r="F969" s="349"/>
      <c r="G969" s="355"/>
    </row>
    <row r="970" spans="1:7" x14ac:dyDescent="0.25">
      <c r="A970" s="116" t="s">
        <v>152</v>
      </c>
      <c r="B970" s="116" t="str">
        <f t="shared" si="43"/>
        <v>KILSTETT</v>
      </c>
      <c r="C970" s="342" t="str">
        <f t="shared" si="44"/>
        <v>chantier en arrêt</v>
      </c>
      <c r="D970" s="117"/>
      <c r="E970" s="348"/>
      <c r="F970" s="349"/>
      <c r="G970" s="355"/>
    </row>
    <row r="971" spans="1:7" x14ac:dyDescent="0.25">
      <c r="A971" s="116" t="s">
        <v>218</v>
      </c>
      <c r="B971" s="116" t="str">
        <f t="shared" si="43"/>
        <v>ESCHBACH</v>
      </c>
      <c r="C971" s="342" t="str">
        <f t="shared" si="44"/>
        <v>couvert</v>
      </c>
      <c r="D971" s="117"/>
      <c r="E971" s="348"/>
      <c r="F971" s="349"/>
      <c r="G971" s="355"/>
    </row>
    <row r="972" spans="1:7" x14ac:dyDescent="0.25">
      <c r="A972" s="116" t="s">
        <v>163</v>
      </c>
      <c r="B972" s="116" t="str">
        <f t="shared" si="43"/>
        <v>BISCHWILLER</v>
      </c>
      <c r="C972" s="342" t="str">
        <f t="shared" si="44"/>
        <v>chape s42</v>
      </c>
      <c r="D972" s="117"/>
      <c r="E972" s="348"/>
      <c r="F972" s="349"/>
      <c r="G972" s="355"/>
    </row>
    <row r="973" spans="1:7" x14ac:dyDescent="0.25">
      <c r="A973" s="116" t="s">
        <v>153</v>
      </c>
      <c r="B973" s="116" t="str">
        <f t="shared" si="43"/>
        <v>PFETTISHEIM</v>
      </c>
      <c r="C973" s="342" t="str">
        <f t="shared" si="44"/>
        <v>à receptionner</v>
      </c>
      <c r="D973" s="117"/>
      <c r="E973" s="348"/>
      <c r="F973" s="349"/>
      <c r="G973" s="355"/>
    </row>
    <row r="974" spans="1:7" x14ac:dyDescent="0.25">
      <c r="A974" s="116" t="s">
        <v>201</v>
      </c>
      <c r="B974" s="116" t="str">
        <f t="shared" si="43"/>
        <v>KINDWILLER</v>
      </c>
      <c r="C974" s="342" t="str">
        <f t="shared" si="44"/>
        <v>clos couvert</v>
      </c>
      <c r="D974" s="117"/>
      <c r="E974" s="348"/>
      <c r="F974" s="349"/>
      <c r="G974" s="355"/>
    </row>
    <row r="975" spans="1:7" x14ac:dyDescent="0.25">
      <c r="A975" s="136" t="s">
        <v>180</v>
      </c>
      <c r="B975" s="136" t="str">
        <f t="shared" si="43"/>
        <v>KILSTETT</v>
      </c>
      <c r="C975" s="343" t="str">
        <f t="shared" si="44"/>
        <v>chape s42</v>
      </c>
      <c r="D975" s="137"/>
      <c r="E975" s="348"/>
      <c r="F975" s="349"/>
      <c r="G975" s="355"/>
    </row>
    <row r="976" spans="1:7" x14ac:dyDescent="0.25">
      <c r="A976" s="136" t="s">
        <v>214</v>
      </c>
      <c r="B976" s="136" t="str">
        <f t="shared" si="43"/>
        <v>BUST</v>
      </c>
      <c r="C976" s="137" t="str">
        <f t="shared" si="44"/>
        <v>couvert</v>
      </c>
      <c r="D976" s="137" t="s">
        <v>346</v>
      </c>
      <c r="E976" s="348">
        <v>42</v>
      </c>
      <c r="F976" s="349"/>
      <c r="G976" s="355"/>
    </row>
    <row r="977" spans="1:7" x14ac:dyDescent="0.25">
      <c r="A977" s="160" t="s">
        <v>202</v>
      </c>
      <c r="B977" s="160" t="str">
        <f t="shared" si="43"/>
        <v>LUTZELHOUSE</v>
      </c>
      <c r="C977" s="343" t="str">
        <f t="shared" si="44"/>
        <v>charpente</v>
      </c>
      <c r="D977" s="343"/>
      <c r="E977" s="348"/>
      <c r="F977" s="348"/>
      <c r="G977" s="356"/>
    </row>
    <row r="978" spans="1:7" x14ac:dyDescent="0.25">
      <c r="A978" s="160" t="s">
        <v>282</v>
      </c>
      <c r="B978" s="160" t="str">
        <f t="shared" si="43"/>
        <v>BREUSCHWICKERSHEIM</v>
      </c>
      <c r="C978" s="343" t="str">
        <f t="shared" si="44"/>
        <v>fondations</v>
      </c>
      <c r="D978" s="343"/>
      <c r="E978" s="348"/>
      <c r="F978" s="348"/>
      <c r="G978" s="356"/>
    </row>
    <row r="979" spans="1:7" x14ac:dyDescent="0.25">
      <c r="A979" s="160" t="s">
        <v>363</v>
      </c>
      <c r="B979" s="160" t="str">
        <f t="shared" si="43"/>
        <v>GAMBSHEIM</v>
      </c>
      <c r="C979" s="343" t="str">
        <f t="shared" si="44"/>
        <v>marchés en cours</v>
      </c>
      <c r="D979" s="343"/>
      <c r="E979" s="348"/>
      <c r="F979" s="348"/>
      <c r="G979" s="356"/>
    </row>
    <row r="980" spans="1:7" x14ac:dyDescent="0.25">
      <c r="A980" s="160" t="s">
        <v>364</v>
      </c>
      <c r="B980" s="160" t="str">
        <f t="shared" si="43"/>
        <v>OBERLAUTERBACH</v>
      </c>
      <c r="C980" s="343" t="str">
        <f t="shared" si="44"/>
        <v>marchés S43</v>
      </c>
      <c r="D980" s="343"/>
      <c r="E980" s="348"/>
      <c r="F980" s="348"/>
      <c r="G980" s="356"/>
    </row>
    <row r="981" spans="1:7" x14ac:dyDescent="0.25">
      <c r="A981" s="160" t="s">
        <v>181</v>
      </c>
      <c r="B981" s="161" t="str">
        <f t="shared" si="43"/>
        <v>OBERMODERN-ZUTZENDORF</v>
      </c>
      <c r="C981" s="343" t="str">
        <f>C936</f>
        <v>chape s41</v>
      </c>
      <c r="D981" s="343"/>
      <c r="E981" s="348"/>
      <c r="F981" s="348"/>
      <c r="G981" s="356"/>
    </row>
    <row r="982" spans="1:7" x14ac:dyDescent="0.25">
      <c r="A982" s="160" t="s">
        <v>164</v>
      </c>
      <c r="B982" s="161" t="str">
        <f t="shared" si="43"/>
        <v>WILDERSBACH</v>
      </c>
      <c r="C982" s="343" t="str">
        <f>C937</f>
        <v>à receptionner</v>
      </c>
      <c r="D982" s="343"/>
      <c r="E982" s="348"/>
      <c r="F982" s="348"/>
      <c r="G982" s="356"/>
    </row>
    <row r="983" spans="1:7" x14ac:dyDescent="0.25">
      <c r="A983" s="160" t="s">
        <v>248</v>
      </c>
      <c r="B983" s="161" t="str">
        <f t="shared" si="43"/>
        <v>AVENHEIM</v>
      </c>
      <c r="C983" s="343" t="str">
        <f>C938</f>
        <v>dalle basse RDC</v>
      </c>
      <c r="D983" s="343"/>
      <c r="E983" s="348"/>
      <c r="F983" s="348"/>
      <c r="G983" s="356"/>
    </row>
    <row r="984" spans="1:7" x14ac:dyDescent="0.25">
      <c r="A984" s="160"/>
      <c r="B984" s="343"/>
      <c r="C984" s="343"/>
      <c r="D984" s="148"/>
      <c r="E984" s="348"/>
      <c r="F984" s="348"/>
    </row>
    <row r="988" spans="1:7" x14ac:dyDescent="0.25">
      <c r="A988" s="407" t="s">
        <v>373</v>
      </c>
      <c r="B988" s="407"/>
      <c r="C988" s="407"/>
      <c r="D988" s="407"/>
      <c r="E988" s="407"/>
      <c r="F988" s="407"/>
      <c r="G988" s="407"/>
    </row>
    <row r="989" spans="1:7" ht="15.75" thickBot="1" x14ac:dyDescent="0.3">
      <c r="A989" s="407" t="s">
        <v>374</v>
      </c>
      <c r="B989" s="407"/>
      <c r="C989" s="407"/>
      <c r="D989" s="407"/>
      <c r="E989" s="407"/>
      <c r="F989" s="407"/>
      <c r="G989" s="407"/>
    </row>
    <row r="990" spans="1:7" ht="15" customHeight="1" x14ac:dyDescent="0.25">
      <c r="C990" s="401" t="s">
        <v>80</v>
      </c>
      <c r="D990" s="402"/>
    </row>
    <row r="991" spans="1:7" ht="6.75" customHeight="1" x14ac:dyDescent="0.25">
      <c r="C991" s="403"/>
      <c r="D991" s="404"/>
    </row>
    <row r="992" spans="1:7" ht="27" customHeight="1" thickBot="1" x14ac:dyDescent="0.3">
      <c r="C992" s="405"/>
      <c r="D992" s="406"/>
    </row>
    <row r="993" spans="1:8" ht="27" customHeight="1" thickBot="1" x14ac:dyDescent="0.3">
      <c r="C993" s="121" t="s">
        <v>1</v>
      </c>
      <c r="D993" s="113">
        <f ca="1">D813</f>
        <v>41</v>
      </c>
    </row>
    <row r="994" spans="1:8" ht="15" customHeight="1" x14ac:dyDescent="0.25">
      <c r="C994" s="121"/>
      <c r="H994" s="119"/>
    </row>
    <row r="995" spans="1:8" ht="10.5" customHeight="1" x14ac:dyDescent="0.25">
      <c r="C995" s="109"/>
      <c r="D995" s="109"/>
      <c r="E995" s="348"/>
      <c r="F995" s="348"/>
    </row>
    <row r="996" spans="1:8" ht="21.75" customHeight="1" x14ac:dyDescent="0.4">
      <c r="B996" s="114" t="s">
        <v>77</v>
      </c>
      <c r="C996" s="114" t="s">
        <v>167</v>
      </c>
      <c r="D996" s="342" t="s">
        <v>168</v>
      </c>
      <c r="E996" s="141"/>
      <c r="F996" s="348"/>
    </row>
    <row r="997" spans="1:8" ht="16.5" customHeight="1" x14ac:dyDescent="0.3">
      <c r="C997" s="110"/>
      <c r="D997" s="109"/>
      <c r="E997" s="348"/>
      <c r="F997" s="348"/>
    </row>
    <row r="998" spans="1:8" s="138" customFormat="1" ht="16.5" customHeight="1" x14ac:dyDescent="0.25">
      <c r="A998" s="369" t="s">
        <v>78</v>
      </c>
      <c r="B998" s="369" t="s">
        <v>294</v>
      </c>
      <c r="C998" s="141" t="s">
        <v>79</v>
      </c>
      <c r="D998" s="112" t="s">
        <v>375</v>
      </c>
      <c r="E998" s="348" t="s">
        <v>352</v>
      </c>
      <c r="F998" s="348" t="s">
        <v>369</v>
      </c>
      <c r="G998" s="141" t="s">
        <v>126</v>
      </c>
    </row>
    <row r="999" spans="1:8" ht="16.5" customHeight="1" x14ac:dyDescent="0.25">
      <c r="A999" s="111" t="s">
        <v>213</v>
      </c>
      <c r="B999" s="111" t="str">
        <f t="shared" ref="B999:B1028" si="45">B10</f>
        <v>PFETTISHEIM</v>
      </c>
      <c r="C999" s="342" t="str">
        <f t="shared" ref="C999:C1025" si="46">C954</f>
        <v>pignons</v>
      </c>
      <c r="D999" s="115"/>
      <c r="E999" s="348"/>
      <c r="F999" s="348"/>
      <c r="G999" s="354"/>
    </row>
    <row r="1000" spans="1:8" x14ac:dyDescent="0.25">
      <c r="A1000" s="116" t="s">
        <v>278</v>
      </c>
      <c r="B1000" s="116" t="str">
        <f t="shared" si="45"/>
        <v>BLIENSCHWILLER</v>
      </c>
      <c r="C1000" s="342" t="str">
        <f t="shared" si="46"/>
        <v>fondations</v>
      </c>
      <c r="D1000" s="117"/>
      <c r="E1000" s="348"/>
      <c r="F1000" s="349"/>
      <c r="G1000" s="355"/>
    </row>
    <row r="1001" spans="1:8" x14ac:dyDescent="0.25">
      <c r="A1001" s="116" t="s">
        <v>259</v>
      </c>
      <c r="B1001" s="116" t="str">
        <f t="shared" si="45"/>
        <v>BERSTHEIM</v>
      </c>
      <c r="C1001" s="342" t="str">
        <f t="shared" si="46"/>
        <v>dalle basse RDC</v>
      </c>
      <c r="D1001" s="117"/>
      <c r="E1001" s="348"/>
      <c r="F1001" s="349"/>
      <c r="G1001" s="355"/>
    </row>
    <row r="1002" spans="1:8" x14ac:dyDescent="0.25">
      <c r="A1002" s="116" t="s">
        <v>279</v>
      </c>
      <c r="B1002" s="116" t="str">
        <f t="shared" si="45"/>
        <v>FRIEDOLSHEIM</v>
      </c>
      <c r="C1002" s="342" t="str">
        <f t="shared" si="46"/>
        <v>dalle basse RDC</v>
      </c>
      <c r="D1002" s="117"/>
      <c r="E1002" s="348"/>
      <c r="F1002" s="349"/>
      <c r="G1002" s="355"/>
    </row>
    <row r="1003" spans="1:8" x14ac:dyDescent="0.25">
      <c r="A1003" s="116" t="s">
        <v>179</v>
      </c>
      <c r="B1003" s="116" t="str">
        <f t="shared" si="45"/>
        <v>GERTSHEIM</v>
      </c>
      <c r="C1003" s="342" t="str">
        <f t="shared" si="46"/>
        <v>à receptionner</v>
      </c>
      <c r="D1003" s="117"/>
      <c r="E1003" s="348"/>
      <c r="F1003" s="349"/>
      <c r="G1003" s="355"/>
    </row>
    <row r="1004" spans="1:8" x14ac:dyDescent="0.25">
      <c r="A1004" s="116" t="s">
        <v>197</v>
      </c>
      <c r="B1004" s="116" t="str">
        <f t="shared" si="45"/>
        <v>STRASBOURG</v>
      </c>
      <c r="C1004" s="342" t="str">
        <f t="shared" si="46"/>
        <v>chape s42</v>
      </c>
      <c r="D1004" s="117"/>
      <c r="E1004" s="348"/>
      <c r="F1004" s="349"/>
      <c r="G1004" s="355"/>
    </row>
    <row r="1005" spans="1:8" x14ac:dyDescent="0.25">
      <c r="A1005" s="116" t="s">
        <v>280</v>
      </c>
      <c r="B1005" s="116" t="str">
        <f t="shared" si="45"/>
        <v>HENGWILLER</v>
      </c>
      <c r="C1005" s="342" t="str">
        <f t="shared" si="46"/>
        <v>soubassement</v>
      </c>
      <c r="D1005" s="117"/>
      <c r="E1005" s="348"/>
      <c r="F1005" s="349"/>
      <c r="G1005" s="355"/>
    </row>
    <row r="1006" spans="1:8" x14ac:dyDescent="0.25">
      <c r="A1006" s="116" t="s">
        <v>198</v>
      </c>
      <c r="B1006" s="116" t="str">
        <f t="shared" si="45"/>
        <v>HANGENBIENTEN</v>
      </c>
      <c r="C1006" s="342" t="str">
        <f t="shared" si="46"/>
        <v>dalle basse RDC</v>
      </c>
      <c r="D1006" s="117"/>
      <c r="E1006" s="348"/>
      <c r="F1006" s="349"/>
      <c r="G1006" s="355"/>
    </row>
    <row r="1007" spans="1:8" x14ac:dyDescent="0.25">
      <c r="A1007" s="116" t="s">
        <v>281</v>
      </c>
      <c r="B1007" s="116" t="str">
        <f t="shared" si="45"/>
        <v>OBERHOFFEN</v>
      </c>
      <c r="C1007" s="342" t="str">
        <f t="shared" si="46"/>
        <v>dalle basse RDC</v>
      </c>
      <c r="D1007" s="117"/>
      <c r="E1007" s="348"/>
      <c r="F1007" s="349"/>
      <c r="G1007" s="355"/>
    </row>
    <row r="1008" spans="1:8" x14ac:dyDescent="0.25">
      <c r="A1008" s="116" t="s">
        <v>199</v>
      </c>
      <c r="B1008" s="116" t="str">
        <f t="shared" si="45"/>
        <v>EBERSHEIM</v>
      </c>
      <c r="C1008" s="342" t="str">
        <f t="shared" si="46"/>
        <v>couvert</v>
      </c>
      <c r="D1008" s="117" t="s">
        <v>268</v>
      </c>
      <c r="E1008" s="348">
        <v>47</v>
      </c>
      <c r="F1008" s="349"/>
      <c r="G1008" s="355"/>
    </row>
    <row r="1009" spans="1:7" x14ac:dyDescent="0.25">
      <c r="A1009" s="116" t="s">
        <v>256</v>
      </c>
      <c r="B1009" s="116" t="str">
        <f t="shared" si="45"/>
        <v>DINSHEIM S/ BRUCHE</v>
      </c>
      <c r="C1009" s="342" t="str">
        <f t="shared" si="46"/>
        <v>GO fini</v>
      </c>
      <c r="D1009" s="117" t="s">
        <v>268</v>
      </c>
      <c r="E1009" s="348">
        <v>49</v>
      </c>
      <c r="F1009" s="349"/>
      <c r="G1009" s="355"/>
    </row>
    <row r="1010" spans="1:7" x14ac:dyDescent="0.25">
      <c r="A1010" s="116" t="s">
        <v>357</v>
      </c>
      <c r="B1010" s="116" t="str">
        <f t="shared" si="45"/>
        <v>MOLSHEIM</v>
      </c>
      <c r="C1010" s="342" t="str">
        <f t="shared" si="46"/>
        <v>marchés en cours</v>
      </c>
      <c r="D1010" s="117"/>
      <c r="E1010" s="348"/>
      <c r="F1010" s="349"/>
      <c r="G1010" s="355"/>
    </row>
    <row r="1011" spans="1:7" x14ac:dyDescent="0.25">
      <c r="A1011" s="116" t="s">
        <v>200</v>
      </c>
      <c r="B1011" s="116" t="str">
        <f t="shared" si="45"/>
        <v>KLEINFRANKENHEIM</v>
      </c>
      <c r="C1011" s="342" t="str">
        <f t="shared" si="46"/>
        <v>second œuvre en cours charge client</v>
      </c>
      <c r="D1011" s="117"/>
      <c r="E1011" s="348"/>
      <c r="F1011" s="349"/>
      <c r="G1011" s="355"/>
    </row>
    <row r="1012" spans="1:7" x14ac:dyDescent="0.25">
      <c r="A1012" s="116" t="s">
        <v>161</v>
      </c>
      <c r="B1012" s="116" t="str">
        <f t="shared" si="45"/>
        <v>HANGENBIENTEN</v>
      </c>
      <c r="C1012" s="342" t="str">
        <f t="shared" si="46"/>
        <v>chape</v>
      </c>
      <c r="D1012" s="117"/>
      <c r="E1012" s="348"/>
      <c r="F1012" s="349"/>
      <c r="G1012" s="355"/>
    </row>
    <row r="1013" spans="1:7" x14ac:dyDescent="0.25">
      <c r="A1013" s="116" t="s">
        <v>185</v>
      </c>
      <c r="B1013" s="116" t="str">
        <f t="shared" si="45"/>
        <v>PETERSBACH</v>
      </c>
      <c r="C1013" s="342" t="str">
        <f t="shared" si="46"/>
        <v>couvert</v>
      </c>
      <c r="D1013" s="117"/>
      <c r="E1013" s="348"/>
      <c r="F1013" s="349"/>
      <c r="G1013" s="355"/>
    </row>
    <row r="1014" spans="1:7" x14ac:dyDescent="0.25">
      <c r="A1014" s="116" t="s">
        <v>162</v>
      </c>
      <c r="B1014" s="116" t="str">
        <f t="shared" si="45"/>
        <v>ENTZHEIM</v>
      </c>
      <c r="C1014" s="342" t="str">
        <f t="shared" si="46"/>
        <v>chape</v>
      </c>
      <c r="D1014" s="117"/>
      <c r="E1014" s="348"/>
      <c r="F1014" s="349"/>
      <c r="G1014" s="355"/>
    </row>
    <row r="1015" spans="1:7" x14ac:dyDescent="0.25">
      <c r="A1015" s="116" t="s">
        <v>152</v>
      </c>
      <c r="B1015" s="116" t="str">
        <f t="shared" si="45"/>
        <v>KILSTETT</v>
      </c>
      <c r="C1015" s="342" t="str">
        <f t="shared" si="46"/>
        <v>chantier en arrêt</v>
      </c>
      <c r="D1015" s="117" t="s">
        <v>268</v>
      </c>
      <c r="E1015" s="348">
        <v>48</v>
      </c>
      <c r="F1015" s="349"/>
      <c r="G1015" s="355"/>
    </row>
    <row r="1016" spans="1:7" x14ac:dyDescent="0.25">
      <c r="A1016" s="116" t="s">
        <v>218</v>
      </c>
      <c r="B1016" s="116" t="str">
        <f t="shared" si="45"/>
        <v>ESCHBACH</v>
      </c>
      <c r="C1016" s="342" t="str">
        <f t="shared" si="46"/>
        <v>couvert</v>
      </c>
      <c r="D1016" s="343"/>
      <c r="E1016" s="348"/>
      <c r="F1016" s="348"/>
      <c r="G1016" s="355"/>
    </row>
    <row r="1017" spans="1:7" x14ac:dyDescent="0.25">
      <c r="A1017" s="116" t="s">
        <v>163</v>
      </c>
      <c r="B1017" s="116" t="str">
        <f t="shared" si="45"/>
        <v>BISCHWILLER</v>
      </c>
      <c r="C1017" s="342" t="str">
        <f t="shared" si="46"/>
        <v>chape s42</v>
      </c>
      <c r="D1017" s="117"/>
      <c r="E1017" s="348"/>
      <c r="F1017" s="349"/>
      <c r="G1017" s="355"/>
    </row>
    <row r="1018" spans="1:7" x14ac:dyDescent="0.25">
      <c r="A1018" s="116" t="s">
        <v>153</v>
      </c>
      <c r="B1018" s="116" t="str">
        <f t="shared" si="45"/>
        <v>PFETTISHEIM</v>
      </c>
      <c r="C1018" s="342" t="str">
        <f t="shared" si="46"/>
        <v>à receptionner</v>
      </c>
      <c r="D1018" s="117"/>
      <c r="E1018" s="348"/>
      <c r="F1018" s="349"/>
      <c r="G1018" s="355"/>
    </row>
    <row r="1019" spans="1:7" x14ac:dyDescent="0.25">
      <c r="A1019" s="116" t="s">
        <v>201</v>
      </c>
      <c r="B1019" s="116" t="str">
        <f t="shared" si="45"/>
        <v>KINDWILLER</v>
      </c>
      <c r="C1019" s="342" t="str">
        <f t="shared" si="46"/>
        <v>clos couvert</v>
      </c>
      <c r="D1019" s="117"/>
      <c r="E1019" s="348"/>
      <c r="F1019" s="349"/>
      <c r="G1019" s="355"/>
    </row>
    <row r="1020" spans="1:7" x14ac:dyDescent="0.25">
      <c r="A1020" s="136" t="s">
        <v>180</v>
      </c>
      <c r="B1020" s="136" t="str">
        <f t="shared" si="45"/>
        <v>KILSTETT</v>
      </c>
      <c r="C1020" s="343" t="str">
        <f t="shared" si="46"/>
        <v>chape s42</v>
      </c>
      <c r="D1020" s="137" t="s">
        <v>268</v>
      </c>
      <c r="E1020" s="348">
        <v>50</v>
      </c>
      <c r="F1020" s="349"/>
      <c r="G1020" s="355"/>
    </row>
    <row r="1021" spans="1:7" x14ac:dyDescent="0.25">
      <c r="A1021" s="136" t="s">
        <v>214</v>
      </c>
      <c r="B1021" s="136" t="str">
        <f t="shared" si="45"/>
        <v>BUST</v>
      </c>
      <c r="C1021" s="137" t="str">
        <f t="shared" si="46"/>
        <v>couvert</v>
      </c>
      <c r="D1021" s="343"/>
      <c r="E1021" s="348"/>
      <c r="F1021" s="348"/>
      <c r="G1021" s="355"/>
    </row>
    <row r="1022" spans="1:7" x14ac:dyDescent="0.25">
      <c r="A1022" s="160" t="s">
        <v>202</v>
      </c>
      <c r="B1022" s="160" t="str">
        <f t="shared" si="45"/>
        <v>LUTZELHOUSE</v>
      </c>
      <c r="C1022" s="343" t="str">
        <f t="shared" si="46"/>
        <v>charpente</v>
      </c>
      <c r="D1022" s="137" t="s">
        <v>268</v>
      </c>
      <c r="E1022" s="348">
        <v>5</v>
      </c>
      <c r="F1022" s="349"/>
      <c r="G1022" s="356"/>
    </row>
    <row r="1023" spans="1:7" x14ac:dyDescent="0.25">
      <c r="A1023" s="160" t="s">
        <v>282</v>
      </c>
      <c r="B1023" s="160" t="str">
        <f t="shared" si="45"/>
        <v>BREUSCHWICKERSHEIM</v>
      </c>
      <c r="C1023" s="343" t="str">
        <f t="shared" si="46"/>
        <v>fondations</v>
      </c>
      <c r="D1023" s="343" t="s">
        <v>347</v>
      </c>
      <c r="E1023" s="348">
        <v>47</v>
      </c>
      <c r="F1023" s="348"/>
      <c r="G1023" s="356"/>
    </row>
    <row r="1024" spans="1:7" x14ac:dyDescent="0.25">
      <c r="A1024" s="160" t="s">
        <v>363</v>
      </c>
      <c r="B1024" s="160" t="str">
        <f t="shared" si="45"/>
        <v>GAMBSHEIM</v>
      </c>
      <c r="C1024" s="343" t="str">
        <f t="shared" si="46"/>
        <v>marchés en cours</v>
      </c>
      <c r="D1024" s="343"/>
      <c r="E1024" s="348"/>
      <c r="F1024" s="348"/>
      <c r="G1024" s="356"/>
    </row>
    <row r="1025" spans="1:8" x14ac:dyDescent="0.25">
      <c r="A1025" s="160" t="s">
        <v>364</v>
      </c>
      <c r="B1025" s="160" t="str">
        <f t="shared" si="45"/>
        <v>OBERLAUTERBACH</v>
      </c>
      <c r="C1025" s="343" t="str">
        <f t="shared" si="46"/>
        <v>marchés S43</v>
      </c>
      <c r="D1025" s="343"/>
      <c r="E1025" s="348"/>
      <c r="F1025" s="348"/>
      <c r="G1025" s="356"/>
    </row>
    <row r="1026" spans="1:8" x14ac:dyDescent="0.25">
      <c r="A1026" s="160" t="s">
        <v>181</v>
      </c>
      <c r="B1026" s="161" t="str">
        <f t="shared" si="45"/>
        <v>OBERMODERN-ZUTZENDORF</v>
      </c>
      <c r="C1026" s="343" t="str">
        <f>C981</f>
        <v>chape s41</v>
      </c>
      <c r="D1026" s="343"/>
      <c r="E1026" s="348"/>
      <c r="F1026" s="348"/>
      <c r="G1026" s="356"/>
    </row>
    <row r="1027" spans="1:8" x14ac:dyDescent="0.25">
      <c r="A1027" s="160" t="s">
        <v>164</v>
      </c>
      <c r="B1027" s="161" t="str">
        <f t="shared" si="45"/>
        <v>WILDERSBACH</v>
      </c>
      <c r="C1027" s="343" t="str">
        <f>C982</f>
        <v>à receptionner</v>
      </c>
      <c r="D1027" s="343"/>
      <c r="E1027" s="348"/>
      <c r="F1027" s="348"/>
      <c r="G1027" s="356"/>
    </row>
    <row r="1028" spans="1:8" x14ac:dyDescent="0.25">
      <c r="A1028" s="160" t="s">
        <v>248</v>
      </c>
      <c r="B1028" s="161" t="str">
        <f t="shared" si="45"/>
        <v>AVENHEIM</v>
      </c>
      <c r="C1028" s="343" t="str">
        <f>C983</f>
        <v>dalle basse RDC</v>
      </c>
      <c r="D1028" s="343"/>
      <c r="E1028" s="348"/>
      <c r="F1028" s="348"/>
      <c r="G1028" s="356"/>
    </row>
    <row r="1029" spans="1:8" x14ac:dyDescent="0.25">
      <c r="A1029" s="160"/>
      <c r="B1029" s="343"/>
      <c r="C1029" s="343"/>
      <c r="D1029" s="148"/>
      <c r="E1029" s="348"/>
      <c r="F1029" s="348"/>
    </row>
    <row r="1033" spans="1:8" x14ac:dyDescent="0.25">
      <c r="A1033" s="407" t="s">
        <v>373</v>
      </c>
      <c r="B1033" s="407"/>
      <c r="C1033" s="407"/>
      <c r="D1033" s="407"/>
      <c r="E1033" s="407"/>
      <c r="F1033" s="407"/>
      <c r="G1033" s="407"/>
    </row>
    <row r="1034" spans="1:8" ht="15.75" thickBot="1" x14ac:dyDescent="0.3">
      <c r="A1034" s="407" t="s">
        <v>374</v>
      </c>
      <c r="B1034" s="407"/>
      <c r="C1034" s="407"/>
      <c r="D1034" s="407"/>
      <c r="E1034" s="407"/>
      <c r="F1034" s="407"/>
      <c r="G1034" s="407"/>
    </row>
    <row r="1035" spans="1:8" ht="15" customHeight="1" x14ac:dyDescent="0.25">
      <c r="C1035" s="401" t="s">
        <v>80</v>
      </c>
      <c r="D1035" s="402"/>
    </row>
    <row r="1036" spans="1:8" ht="6.75" customHeight="1" x14ac:dyDescent="0.25">
      <c r="C1036" s="403"/>
      <c r="D1036" s="404"/>
    </row>
    <row r="1037" spans="1:8" ht="27" customHeight="1" thickBot="1" x14ac:dyDescent="0.3">
      <c r="C1037" s="405"/>
      <c r="D1037" s="406"/>
    </row>
    <row r="1038" spans="1:8" ht="27" customHeight="1" thickBot="1" x14ac:dyDescent="0.3">
      <c r="C1038" s="121" t="s">
        <v>1</v>
      </c>
      <c r="D1038" s="113">
        <f ca="1">D858</f>
        <v>41</v>
      </c>
    </row>
    <row r="1039" spans="1:8" ht="15" customHeight="1" x14ac:dyDescent="0.25">
      <c r="C1039" s="121"/>
      <c r="H1039" s="119"/>
    </row>
    <row r="1040" spans="1:8" ht="10.5" customHeight="1" x14ac:dyDescent="0.25">
      <c r="C1040" s="109"/>
      <c r="D1040" s="109"/>
      <c r="E1040" s="348"/>
      <c r="F1040" s="348"/>
    </row>
    <row r="1041" spans="1:7" ht="21.75" customHeight="1" x14ac:dyDescent="0.4">
      <c r="B1041" s="114" t="s">
        <v>77</v>
      </c>
      <c r="C1041" s="114" t="s">
        <v>47</v>
      </c>
      <c r="D1041" s="342" t="s">
        <v>223</v>
      </c>
      <c r="E1041" s="141"/>
      <c r="F1041" s="348"/>
    </row>
    <row r="1042" spans="1:7" ht="16.5" customHeight="1" x14ac:dyDescent="0.3">
      <c r="C1042" s="110"/>
      <c r="D1042" s="109"/>
      <c r="E1042" s="348"/>
      <c r="F1042" s="348"/>
    </row>
    <row r="1043" spans="1:7" s="138" customFormat="1" ht="16.5" customHeight="1" x14ac:dyDescent="0.25">
      <c r="A1043" s="369" t="s">
        <v>78</v>
      </c>
      <c r="B1043" s="369" t="s">
        <v>294</v>
      </c>
      <c r="C1043" s="141" t="s">
        <v>79</v>
      </c>
      <c r="D1043" s="112" t="s">
        <v>375</v>
      </c>
      <c r="E1043" s="348" t="s">
        <v>352</v>
      </c>
      <c r="F1043" s="348" t="s">
        <v>369</v>
      </c>
      <c r="G1043" s="141" t="s">
        <v>126</v>
      </c>
    </row>
    <row r="1044" spans="1:7" ht="16.5" customHeight="1" x14ac:dyDescent="0.25">
      <c r="A1044" s="111" t="s">
        <v>213</v>
      </c>
      <c r="B1044" s="111" t="str">
        <f t="shared" ref="B1044:B1073" si="47">B10</f>
        <v>PFETTISHEIM</v>
      </c>
      <c r="C1044" s="342" t="str">
        <f t="shared" ref="C1044:C1070" si="48">C999</f>
        <v>pignons</v>
      </c>
      <c r="D1044" s="140" t="s">
        <v>229</v>
      </c>
      <c r="E1044" s="349">
        <v>45</v>
      </c>
      <c r="F1044" s="348"/>
      <c r="G1044" s="354"/>
    </row>
    <row r="1045" spans="1:7" x14ac:dyDescent="0.25">
      <c r="A1045" s="116" t="s">
        <v>278</v>
      </c>
      <c r="B1045" s="116" t="str">
        <f t="shared" si="47"/>
        <v>BLIENSCHWILLER</v>
      </c>
      <c r="C1045" s="342" t="str">
        <f t="shared" si="48"/>
        <v>fondations</v>
      </c>
      <c r="D1045" s="117" t="s">
        <v>229</v>
      </c>
      <c r="E1045" s="349">
        <v>2</v>
      </c>
      <c r="F1045" s="349"/>
      <c r="G1045" s="355"/>
    </row>
    <row r="1046" spans="1:7" x14ac:dyDescent="0.25">
      <c r="A1046" s="116" t="s">
        <v>259</v>
      </c>
      <c r="B1046" s="116" t="str">
        <f t="shared" si="47"/>
        <v>BERSTHEIM</v>
      </c>
      <c r="C1046" s="342" t="str">
        <f t="shared" si="48"/>
        <v>dalle basse RDC</v>
      </c>
      <c r="D1046" s="117" t="s">
        <v>229</v>
      </c>
      <c r="E1046" s="349">
        <v>50</v>
      </c>
      <c r="F1046" s="349"/>
      <c r="G1046" s="355"/>
    </row>
    <row r="1047" spans="1:7" x14ac:dyDescent="0.25">
      <c r="A1047" s="116" t="s">
        <v>279</v>
      </c>
      <c r="B1047" s="116" t="str">
        <f t="shared" si="47"/>
        <v>FRIEDOLSHEIM</v>
      </c>
      <c r="C1047" s="342" t="str">
        <f t="shared" si="48"/>
        <v>dalle basse RDC</v>
      </c>
      <c r="D1047" s="117" t="s">
        <v>229</v>
      </c>
      <c r="E1047" s="349">
        <v>51</v>
      </c>
      <c r="F1047" s="349"/>
      <c r="G1047" s="355"/>
    </row>
    <row r="1048" spans="1:7" x14ac:dyDescent="0.25">
      <c r="A1048" s="116" t="s">
        <v>179</v>
      </c>
      <c r="B1048" s="116" t="str">
        <f t="shared" si="47"/>
        <v>GERTSHEIM</v>
      </c>
      <c r="C1048" s="342" t="str">
        <f t="shared" si="48"/>
        <v>à receptionner</v>
      </c>
      <c r="D1048" s="117"/>
      <c r="E1048" s="349"/>
      <c r="F1048" s="349"/>
      <c r="G1048" s="355"/>
    </row>
    <row r="1049" spans="1:7" x14ac:dyDescent="0.25">
      <c r="A1049" s="116" t="s">
        <v>197</v>
      </c>
      <c r="B1049" s="116" t="str">
        <f t="shared" si="47"/>
        <v>STRASBOURG</v>
      </c>
      <c r="C1049" s="342" t="str">
        <f t="shared" si="48"/>
        <v>chape s42</v>
      </c>
      <c r="D1049" s="117" t="s">
        <v>230</v>
      </c>
      <c r="E1049" s="349">
        <v>43</v>
      </c>
      <c r="F1049" s="349"/>
      <c r="G1049" s="355"/>
    </row>
    <row r="1050" spans="1:7" x14ac:dyDescent="0.25">
      <c r="A1050" s="116" t="s">
        <v>280</v>
      </c>
      <c r="B1050" s="116" t="str">
        <f t="shared" si="47"/>
        <v>HENGWILLER</v>
      </c>
      <c r="C1050" s="342" t="str">
        <f t="shared" si="48"/>
        <v>soubassement</v>
      </c>
      <c r="D1050" s="117" t="s">
        <v>229</v>
      </c>
      <c r="E1050" s="349">
        <v>1</v>
      </c>
      <c r="F1050" s="349"/>
      <c r="G1050" s="355"/>
    </row>
    <row r="1051" spans="1:7" x14ac:dyDescent="0.25">
      <c r="A1051" s="116" t="s">
        <v>198</v>
      </c>
      <c r="B1051" s="116" t="str">
        <f t="shared" si="47"/>
        <v>HANGENBIENTEN</v>
      </c>
      <c r="C1051" s="342" t="str">
        <f t="shared" si="48"/>
        <v>dalle basse RDC</v>
      </c>
      <c r="D1051" s="117"/>
      <c r="E1051" s="349"/>
      <c r="F1051" s="349"/>
      <c r="G1051" s="355"/>
    </row>
    <row r="1052" spans="1:7" x14ac:dyDescent="0.25">
      <c r="A1052" s="116" t="s">
        <v>281</v>
      </c>
      <c r="B1052" s="116" t="str">
        <f t="shared" si="47"/>
        <v>OBERHOFFEN</v>
      </c>
      <c r="C1052" s="342" t="str">
        <f t="shared" si="48"/>
        <v>dalle basse RDC</v>
      </c>
      <c r="D1052" s="117" t="s">
        <v>229</v>
      </c>
      <c r="E1052" s="349">
        <v>1</v>
      </c>
      <c r="F1052" s="349"/>
      <c r="G1052" s="355"/>
    </row>
    <row r="1053" spans="1:7" x14ac:dyDescent="0.25">
      <c r="A1053" s="116" t="s">
        <v>199</v>
      </c>
      <c r="B1053" s="116" t="str">
        <f t="shared" si="47"/>
        <v>EBERSHEIM</v>
      </c>
      <c r="C1053" s="342" t="str">
        <f t="shared" si="48"/>
        <v>couvert</v>
      </c>
      <c r="D1053" s="117" t="s">
        <v>229</v>
      </c>
      <c r="E1053" s="349">
        <v>44</v>
      </c>
      <c r="F1053" s="349"/>
      <c r="G1053" s="355"/>
    </row>
    <row r="1054" spans="1:7" x14ac:dyDescent="0.25">
      <c r="A1054" s="116" t="s">
        <v>256</v>
      </c>
      <c r="B1054" s="116" t="str">
        <f t="shared" si="47"/>
        <v>DINSHEIM S/ BRUCHE</v>
      </c>
      <c r="C1054" s="342" t="str">
        <f t="shared" si="48"/>
        <v>GO fini</v>
      </c>
      <c r="D1054" s="117" t="s">
        <v>229</v>
      </c>
      <c r="E1054" s="349">
        <v>46</v>
      </c>
      <c r="F1054" s="349"/>
      <c r="G1054" s="201"/>
    </row>
    <row r="1055" spans="1:7" x14ac:dyDescent="0.25">
      <c r="A1055" s="116" t="s">
        <v>357</v>
      </c>
      <c r="B1055" s="116" t="str">
        <f t="shared" si="47"/>
        <v>MOLSHEIM</v>
      </c>
      <c r="C1055" s="342" t="str">
        <f t="shared" si="48"/>
        <v>marchés en cours</v>
      </c>
      <c r="D1055" s="117"/>
      <c r="E1055" s="349"/>
      <c r="F1055" s="349"/>
      <c r="G1055" s="355"/>
    </row>
    <row r="1056" spans="1:7" x14ac:dyDescent="0.25">
      <c r="A1056" s="116" t="s">
        <v>200</v>
      </c>
      <c r="B1056" s="116" t="str">
        <f t="shared" si="47"/>
        <v>KLEINFRANKENHEIM</v>
      </c>
      <c r="C1056" s="342" t="str">
        <f t="shared" si="48"/>
        <v>second œuvre en cours charge client</v>
      </c>
      <c r="D1056" s="117" t="s">
        <v>230</v>
      </c>
      <c r="E1056" s="349">
        <v>41</v>
      </c>
      <c r="F1056" s="349"/>
      <c r="G1056" s="355"/>
    </row>
    <row r="1057" spans="1:7" x14ac:dyDescent="0.25">
      <c r="A1057" s="116" t="s">
        <v>161</v>
      </c>
      <c r="B1057" s="116" t="str">
        <f t="shared" si="47"/>
        <v>HANGENBIENTEN</v>
      </c>
      <c r="C1057" s="342" t="str">
        <f t="shared" si="48"/>
        <v>chape</v>
      </c>
      <c r="D1057" s="117" t="s">
        <v>229</v>
      </c>
      <c r="E1057" s="349">
        <v>43</v>
      </c>
      <c r="F1057" s="349"/>
      <c r="G1057" s="355"/>
    </row>
    <row r="1058" spans="1:7" x14ac:dyDescent="0.25">
      <c r="A1058" s="116" t="s">
        <v>185</v>
      </c>
      <c r="B1058" s="116" t="str">
        <f t="shared" si="47"/>
        <v>PETERSBACH</v>
      </c>
      <c r="C1058" s="342" t="str">
        <f t="shared" si="48"/>
        <v>couvert</v>
      </c>
      <c r="D1058" s="117"/>
      <c r="E1058" s="349"/>
      <c r="F1058" s="349"/>
      <c r="G1058" s="355"/>
    </row>
    <row r="1059" spans="1:7" x14ac:dyDescent="0.25">
      <c r="A1059" s="116" t="s">
        <v>162</v>
      </c>
      <c r="B1059" s="116" t="str">
        <f t="shared" si="47"/>
        <v>ENTZHEIM</v>
      </c>
      <c r="C1059" s="342" t="str">
        <f t="shared" si="48"/>
        <v>chape</v>
      </c>
      <c r="D1059" s="117"/>
      <c r="E1059" s="349"/>
      <c r="F1059" s="349"/>
      <c r="G1059" s="355" t="s">
        <v>215</v>
      </c>
    </row>
    <row r="1060" spans="1:7" x14ac:dyDescent="0.25">
      <c r="A1060" s="116" t="s">
        <v>152</v>
      </c>
      <c r="B1060" s="116" t="str">
        <f t="shared" si="47"/>
        <v>KILSTETT</v>
      </c>
      <c r="C1060" s="342" t="str">
        <f t="shared" si="48"/>
        <v>chantier en arrêt</v>
      </c>
      <c r="D1060" s="117" t="s">
        <v>229</v>
      </c>
      <c r="E1060" s="349">
        <v>45</v>
      </c>
      <c r="F1060" s="349"/>
      <c r="G1060" s="355"/>
    </row>
    <row r="1061" spans="1:7" x14ac:dyDescent="0.25">
      <c r="A1061" s="116" t="s">
        <v>218</v>
      </c>
      <c r="B1061" s="116" t="str">
        <f t="shared" si="47"/>
        <v>ESCHBACH</v>
      </c>
      <c r="C1061" s="342" t="str">
        <f t="shared" si="48"/>
        <v>couvert</v>
      </c>
      <c r="D1061" s="117" t="s">
        <v>230</v>
      </c>
      <c r="E1061" s="349">
        <v>43</v>
      </c>
      <c r="F1061" s="349"/>
      <c r="G1061" s="355"/>
    </row>
    <row r="1062" spans="1:7" x14ac:dyDescent="0.25">
      <c r="A1062" s="116" t="s">
        <v>163</v>
      </c>
      <c r="B1062" s="116" t="str">
        <f t="shared" si="47"/>
        <v>BISCHWILLER</v>
      </c>
      <c r="C1062" s="342" t="str">
        <f t="shared" si="48"/>
        <v>chape s42</v>
      </c>
      <c r="D1062" s="117"/>
      <c r="E1062" s="349"/>
      <c r="F1062" s="349"/>
      <c r="G1062" s="355"/>
    </row>
    <row r="1063" spans="1:7" x14ac:dyDescent="0.25">
      <c r="A1063" s="116" t="s">
        <v>153</v>
      </c>
      <c r="B1063" s="116" t="str">
        <f t="shared" si="47"/>
        <v>PFETTISHEIM</v>
      </c>
      <c r="C1063" s="342" t="str">
        <f t="shared" si="48"/>
        <v>à receptionner</v>
      </c>
      <c r="D1063" s="117" t="s">
        <v>229</v>
      </c>
      <c r="E1063" s="349">
        <v>42</v>
      </c>
      <c r="F1063" s="349"/>
      <c r="G1063" s="355"/>
    </row>
    <row r="1064" spans="1:7" x14ac:dyDescent="0.25">
      <c r="A1064" s="116" t="s">
        <v>201</v>
      </c>
      <c r="B1064" s="116" t="str">
        <f t="shared" si="47"/>
        <v>KINDWILLER</v>
      </c>
      <c r="C1064" s="342" t="str">
        <f t="shared" si="48"/>
        <v>clos couvert</v>
      </c>
      <c r="D1064" s="117" t="s">
        <v>230</v>
      </c>
      <c r="E1064" s="349">
        <v>43</v>
      </c>
      <c r="F1064" s="349"/>
      <c r="G1064" s="355"/>
    </row>
    <row r="1065" spans="1:7" x14ac:dyDescent="0.25">
      <c r="A1065" s="136" t="s">
        <v>180</v>
      </c>
      <c r="B1065" s="136" t="str">
        <f t="shared" si="47"/>
        <v>KILSTETT</v>
      </c>
      <c r="C1065" s="343" t="str">
        <f t="shared" si="48"/>
        <v>chape s42</v>
      </c>
      <c r="D1065" s="137" t="s">
        <v>229</v>
      </c>
      <c r="E1065" s="349">
        <v>44</v>
      </c>
      <c r="F1065" s="349"/>
      <c r="G1065" s="355"/>
    </row>
    <row r="1066" spans="1:7" x14ac:dyDescent="0.25">
      <c r="A1066" s="136" t="s">
        <v>214</v>
      </c>
      <c r="B1066" s="136" t="str">
        <f t="shared" si="47"/>
        <v>BUST</v>
      </c>
      <c r="C1066" s="137" t="str">
        <f t="shared" si="48"/>
        <v>couvert</v>
      </c>
      <c r="D1066" s="137" t="s">
        <v>229</v>
      </c>
      <c r="E1066" s="349">
        <v>46</v>
      </c>
      <c r="F1066" s="349"/>
      <c r="G1066" s="355"/>
    </row>
    <row r="1067" spans="1:7" x14ac:dyDescent="0.25">
      <c r="A1067" s="160" t="s">
        <v>202</v>
      </c>
      <c r="B1067" s="160" t="str">
        <f t="shared" si="47"/>
        <v>LUTZELHOUSE</v>
      </c>
      <c r="C1067" s="343" t="str">
        <f t="shared" si="48"/>
        <v>charpente</v>
      </c>
      <c r="D1067" s="343" t="s">
        <v>229</v>
      </c>
      <c r="E1067" s="349">
        <v>2</v>
      </c>
      <c r="F1067" s="348"/>
      <c r="G1067" s="356"/>
    </row>
    <row r="1068" spans="1:7" x14ac:dyDescent="0.25">
      <c r="A1068" s="160" t="s">
        <v>282</v>
      </c>
      <c r="B1068" s="160" t="str">
        <f t="shared" si="47"/>
        <v>BREUSCHWICKERSHEIM</v>
      </c>
      <c r="C1068" s="343" t="str">
        <f t="shared" si="48"/>
        <v>fondations</v>
      </c>
      <c r="D1068" s="343" t="s">
        <v>230</v>
      </c>
      <c r="E1068" s="349">
        <v>42</v>
      </c>
      <c r="F1068" s="348"/>
      <c r="G1068" s="356"/>
    </row>
    <row r="1069" spans="1:7" x14ac:dyDescent="0.25">
      <c r="A1069" s="160" t="s">
        <v>363</v>
      </c>
      <c r="B1069" s="160" t="str">
        <f t="shared" si="47"/>
        <v>GAMBSHEIM</v>
      </c>
      <c r="C1069" s="343" t="str">
        <f t="shared" si="48"/>
        <v>marchés en cours</v>
      </c>
      <c r="D1069" s="343"/>
      <c r="E1069" s="349"/>
      <c r="F1069" s="348"/>
      <c r="G1069" s="356"/>
    </row>
    <row r="1070" spans="1:7" x14ac:dyDescent="0.25">
      <c r="A1070" s="160" t="s">
        <v>364</v>
      </c>
      <c r="B1070" s="160" t="str">
        <f t="shared" si="47"/>
        <v>OBERLAUTERBACH</v>
      </c>
      <c r="C1070" s="343" t="str">
        <f t="shared" si="48"/>
        <v>marchés S43</v>
      </c>
      <c r="D1070" s="343" t="s">
        <v>229</v>
      </c>
      <c r="E1070" s="349">
        <v>48</v>
      </c>
      <c r="F1070" s="348"/>
      <c r="G1070" s="356"/>
    </row>
    <row r="1071" spans="1:7" x14ac:dyDescent="0.25">
      <c r="A1071" s="160" t="s">
        <v>181</v>
      </c>
      <c r="B1071" s="161" t="str">
        <f t="shared" si="47"/>
        <v>OBERMODERN-ZUTZENDORF</v>
      </c>
      <c r="C1071" s="343" t="str">
        <f>C1026</f>
        <v>chape s41</v>
      </c>
      <c r="D1071" s="137"/>
      <c r="E1071" s="348"/>
      <c r="F1071" s="348"/>
      <c r="G1071" s="356"/>
    </row>
    <row r="1072" spans="1:7" x14ac:dyDescent="0.25">
      <c r="A1072" s="160" t="s">
        <v>164</v>
      </c>
      <c r="B1072" s="161" t="str">
        <f t="shared" si="47"/>
        <v>WILDERSBACH</v>
      </c>
      <c r="C1072" s="343" t="str">
        <f>C1027</f>
        <v>à receptionner</v>
      </c>
      <c r="D1072" s="343"/>
      <c r="E1072" s="348"/>
      <c r="F1072" s="348"/>
      <c r="G1072" s="356"/>
    </row>
    <row r="1073" spans="1:8" x14ac:dyDescent="0.25">
      <c r="A1073" s="160" t="s">
        <v>248</v>
      </c>
      <c r="B1073" s="161" t="str">
        <f t="shared" si="47"/>
        <v>AVENHEIM</v>
      </c>
      <c r="C1073" s="343" t="str">
        <f>C1028</f>
        <v>dalle basse RDC</v>
      </c>
      <c r="D1073" s="343"/>
      <c r="E1073" s="348"/>
      <c r="F1073" s="348"/>
      <c r="G1073" s="356"/>
    </row>
    <row r="1074" spans="1:8" x14ac:dyDescent="0.25">
      <c r="A1074" s="160"/>
      <c r="B1074" s="343"/>
      <c r="C1074" s="343"/>
      <c r="D1074" s="148"/>
      <c r="E1074" s="348"/>
      <c r="F1074" s="348"/>
    </row>
    <row r="1078" spans="1:8" x14ac:dyDescent="0.25">
      <c r="A1078" s="407" t="s">
        <v>373</v>
      </c>
      <c r="B1078" s="407"/>
      <c r="C1078" s="407"/>
      <c r="D1078" s="407"/>
      <c r="E1078" s="407"/>
      <c r="F1078" s="407"/>
      <c r="G1078" s="407"/>
    </row>
    <row r="1079" spans="1:8" ht="15.75" thickBot="1" x14ac:dyDescent="0.3">
      <c r="A1079" s="407" t="s">
        <v>374</v>
      </c>
      <c r="B1079" s="407"/>
      <c r="C1079" s="407"/>
      <c r="D1079" s="407"/>
      <c r="E1079" s="407"/>
      <c r="F1079" s="407"/>
      <c r="G1079" s="407"/>
    </row>
    <row r="1080" spans="1:8" ht="15" customHeight="1" x14ac:dyDescent="0.25">
      <c r="C1080" s="401" t="s">
        <v>80</v>
      </c>
      <c r="D1080" s="402"/>
    </row>
    <row r="1081" spans="1:8" ht="6.75" customHeight="1" x14ac:dyDescent="0.25">
      <c r="C1081" s="403"/>
      <c r="D1081" s="404"/>
    </row>
    <row r="1082" spans="1:8" ht="27" customHeight="1" thickBot="1" x14ac:dyDescent="0.3">
      <c r="C1082" s="405"/>
      <c r="D1082" s="406"/>
    </row>
    <row r="1083" spans="1:8" ht="27" customHeight="1" thickBot="1" x14ac:dyDescent="0.3">
      <c r="C1083" s="121" t="s">
        <v>1</v>
      </c>
      <c r="D1083" s="113">
        <f ca="1">D903</f>
        <v>41</v>
      </c>
    </row>
    <row r="1084" spans="1:8" ht="15" customHeight="1" x14ac:dyDescent="0.25">
      <c r="C1084" s="121"/>
      <c r="H1084" s="119"/>
    </row>
    <row r="1085" spans="1:8" ht="10.5" customHeight="1" x14ac:dyDescent="0.25">
      <c r="C1085" s="109"/>
      <c r="D1085" s="109"/>
      <c r="E1085" s="348"/>
      <c r="F1085" s="348"/>
    </row>
    <row r="1086" spans="1:8" ht="21.75" customHeight="1" x14ac:dyDescent="0.4">
      <c r="B1086" s="114" t="s">
        <v>77</v>
      </c>
      <c r="C1086" s="114" t="s">
        <v>176</v>
      </c>
      <c r="D1086" s="342" t="s">
        <v>177</v>
      </c>
      <c r="E1086" s="141"/>
      <c r="F1086" s="348"/>
    </row>
    <row r="1087" spans="1:8" ht="16.5" customHeight="1" x14ac:dyDescent="0.3">
      <c r="C1087" s="110"/>
      <c r="D1087" s="109"/>
      <c r="E1087" s="348"/>
      <c r="F1087" s="348"/>
    </row>
    <row r="1088" spans="1:8" s="138" customFormat="1" ht="16.5" customHeight="1" x14ac:dyDescent="0.25">
      <c r="A1088" s="369" t="s">
        <v>78</v>
      </c>
      <c r="B1088" s="369" t="s">
        <v>294</v>
      </c>
      <c r="C1088" s="141" t="s">
        <v>79</v>
      </c>
      <c r="D1088" s="112" t="s">
        <v>375</v>
      </c>
      <c r="E1088" s="348" t="s">
        <v>352</v>
      </c>
      <c r="F1088" s="348" t="s">
        <v>369</v>
      </c>
      <c r="G1088" s="141" t="s">
        <v>126</v>
      </c>
    </row>
    <row r="1089" spans="1:7" ht="16.5" customHeight="1" x14ac:dyDescent="0.25">
      <c r="A1089" s="111" t="s">
        <v>213</v>
      </c>
      <c r="B1089" s="111" t="str">
        <f t="shared" ref="B1089:B1118" si="49">B10</f>
        <v>PFETTISHEIM</v>
      </c>
      <c r="C1089" s="342" t="str">
        <f t="shared" ref="C1089:C1115" si="50">C1044</f>
        <v>pignons</v>
      </c>
      <c r="D1089" s="115"/>
      <c r="E1089" s="349"/>
      <c r="F1089" s="348"/>
      <c r="G1089" s="354"/>
    </row>
    <row r="1090" spans="1:7" x14ac:dyDescent="0.25">
      <c r="A1090" s="116" t="s">
        <v>278</v>
      </c>
      <c r="B1090" s="116" t="str">
        <f t="shared" si="49"/>
        <v>BLIENSCHWILLER</v>
      </c>
      <c r="C1090" s="342" t="str">
        <f t="shared" si="50"/>
        <v>fondations</v>
      </c>
      <c r="D1090" s="117"/>
      <c r="E1090" s="349"/>
      <c r="F1090" s="349"/>
      <c r="G1090" s="355"/>
    </row>
    <row r="1091" spans="1:7" x14ac:dyDescent="0.25">
      <c r="A1091" s="116" t="s">
        <v>259</v>
      </c>
      <c r="B1091" s="116" t="str">
        <f t="shared" si="49"/>
        <v>BERSTHEIM</v>
      </c>
      <c r="C1091" s="342" t="str">
        <f t="shared" si="50"/>
        <v>dalle basse RDC</v>
      </c>
      <c r="D1091" s="117"/>
      <c r="E1091" s="349"/>
      <c r="F1091" s="349"/>
      <c r="G1091" s="355"/>
    </row>
    <row r="1092" spans="1:7" x14ac:dyDescent="0.25">
      <c r="A1092" s="116" t="s">
        <v>279</v>
      </c>
      <c r="B1092" s="116" t="str">
        <f t="shared" si="49"/>
        <v>FRIEDOLSHEIM</v>
      </c>
      <c r="C1092" s="342" t="str">
        <f t="shared" si="50"/>
        <v>dalle basse RDC</v>
      </c>
      <c r="D1092" s="117" t="s">
        <v>348</v>
      </c>
      <c r="E1092" s="349">
        <v>45</v>
      </c>
      <c r="F1092" s="349"/>
      <c r="G1092" s="355"/>
    </row>
    <row r="1093" spans="1:7" x14ac:dyDescent="0.25">
      <c r="A1093" s="116" t="s">
        <v>179</v>
      </c>
      <c r="B1093" s="116" t="str">
        <f t="shared" si="49"/>
        <v>GERTSHEIM</v>
      </c>
      <c r="C1093" s="342" t="str">
        <f t="shared" si="50"/>
        <v>à receptionner</v>
      </c>
      <c r="D1093" s="117"/>
      <c r="E1093" s="349"/>
      <c r="F1093" s="349"/>
      <c r="G1093" s="355"/>
    </row>
    <row r="1094" spans="1:7" x14ac:dyDescent="0.25">
      <c r="A1094" s="116" t="s">
        <v>197</v>
      </c>
      <c r="B1094" s="116" t="str">
        <f t="shared" si="49"/>
        <v>STRASBOURG</v>
      </c>
      <c r="C1094" s="342" t="str">
        <f t="shared" si="50"/>
        <v>chape s42</v>
      </c>
      <c r="D1094" s="117"/>
      <c r="E1094" s="349"/>
      <c r="F1094" s="349"/>
      <c r="G1094" s="355"/>
    </row>
    <row r="1095" spans="1:7" x14ac:dyDescent="0.25">
      <c r="A1095" s="116" t="s">
        <v>280</v>
      </c>
      <c r="B1095" s="116" t="str">
        <f t="shared" si="49"/>
        <v>HENGWILLER</v>
      </c>
      <c r="C1095" s="342" t="str">
        <f t="shared" si="50"/>
        <v>soubassement</v>
      </c>
      <c r="D1095" s="117"/>
      <c r="E1095" s="349"/>
      <c r="F1095" s="349"/>
      <c r="G1095" s="355"/>
    </row>
    <row r="1096" spans="1:7" x14ac:dyDescent="0.25">
      <c r="A1096" s="116" t="s">
        <v>198</v>
      </c>
      <c r="B1096" s="116" t="str">
        <f t="shared" si="49"/>
        <v>HANGENBIENTEN</v>
      </c>
      <c r="C1096" s="342" t="str">
        <f t="shared" si="50"/>
        <v>dalle basse RDC</v>
      </c>
      <c r="D1096" s="117"/>
      <c r="E1096" s="349"/>
      <c r="F1096" s="349"/>
      <c r="G1096" s="355"/>
    </row>
    <row r="1097" spans="1:7" x14ac:dyDescent="0.25">
      <c r="A1097" s="116" t="s">
        <v>281</v>
      </c>
      <c r="B1097" s="116" t="str">
        <f t="shared" si="49"/>
        <v>OBERHOFFEN</v>
      </c>
      <c r="C1097" s="342" t="str">
        <f t="shared" si="50"/>
        <v>dalle basse RDC</v>
      </c>
      <c r="D1097" s="117" t="s">
        <v>348</v>
      </c>
      <c r="E1097" s="349">
        <v>46</v>
      </c>
      <c r="F1097" s="349"/>
      <c r="G1097" s="355"/>
    </row>
    <row r="1098" spans="1:7" x14ac:dyDescent="0.25">
      <c r="A1098" s="116" t="s">
        <v>199</v>
      </c>
      <c r="B1098" s="116" t="str">
        <f t="shared" si="49"/>
        <v>EBERSHEIM</v>
      </c>
      <c r="C1098" s="342" t="str">
        <f t="shared" si="50"/>
        <v>couvert</v>
      </c>
      <c r="D1098" s="117"/>
      <c r="E1098" s="349"/>
      <c r="F1098" s="349"/>
      <c r="G1098" s="355"/>
    </row>
    <row r="1099" spans="1:7" x14ac:dyDescent="0.25">
      <c r="A1099" s="116" t="s">
        <v>256</v>
      </c>
      <c r="B1099" s="116" t="str">
        <f t="shared" si="49"/>
        <v>DINSHEIM S/ BRUCHE</v>
      </c>
      <c r="C1099" s="342" t="str">
        <f t="shared" si="50"/>
        <v>GO fini</v>
      </c>
      <c r="D1099" s="117"/>
      <c r="E1099" s="349"/>
      <c r="F1099" s="349"/>
      <c r="G1099" s="355"/>
    </row>
    <row r="1100" spans="1:7" x14ac:dyDescent="0.25">
      <c r="A1100" s="116" t="s">
        <v>357</v>
      </c>
      <c r="B1100" s="116" t="str">
        <f t="shared" si="49"/>
        <v>MOLSHEIM</v>
      </c>
      <c r="C1100" s="342" t="str">
        <f t="shared" si="50"/>
        <v>marchés en cours</v>
      </c>
      <c r="D1100" s="117"/>
      <c r="E1100" s="349"/>
      <c r="F1100" s="349"/>
      <c r="G1100" s="355"/>
    </row>
    <row r="1101" spans="1:7" x14ac:dyDescent="0.25">
      <c r="A1101" s="116" t="s">
        <v>200</v>
      </c>
      <c r="B1101" s="116" t="str">
        <f t="shared" si="49"/>
        <v>KLEINFRANKENHEIM</v>
      </c>
      <c r="C1101" s="342" t="str">
        <f t="shared" si="50"/>
        <v>second œuvre en cours charge client</v>
      </c>
      <c r="D1101" s="117"/>
      <c r="E1101" s="349"/>
      <c r="F1101" s="349"/>
      <c r="G1101" s="355"/>
    </row>
    <row r="1102" spans="1:7" x14ac:dyDescent="0.25">
      <c r="A1102" s="116" t="s">
        <v>161</v>
      </c>
      <c r="B1102" s="116" t="str">
        <f t="shared" si="49"/>
        <v>HANGENBIENTEN</v>
      </c>
      <c r="C1102" s="342" t="str">
        <f t="shared" si="50"/>
        <v>chape</v>
      </c>
      <c r="D1102" s="343" t="s">
        <v>266</v>
      </c>
      <c r="E1102" s="348">
        <v>42</v>
      </c>
      <c r="F1102" s="348"/>
      <c r="G1102" s="355"/>
    </row>
    <row r="1103" spans="1:7" x14ac:dyDescent="0.25">
      <c r="A1103" s="116" t="s">
        <v>185</v>
      </c>
      <c r="B1103" s="116" t="str">
        <f t="shared" si="49"/>
        <v>PETERSBACH</v>
      </c>
      <c r="C1103" s="342" t="str">
        <f t="shared" si="50"/>
        <v>couvert</v>
      </c>
      <c r="D1103" s="117"/>
      <c r="E1103" s="349"/>
      <c r="F1103" s="349"/>
      <c r="G1103" s="355"/>
    </row>
    <row r="1104" spans="1:7" x14ac:dyDescent="0.25">
      <c r="A1104" s="116" t="s">
        <v>162</v>
      </c>
      <c r="B1104" s="116" t="str">
        <f t="shared" si="49"/>
        <v>ENTZHEIM</v>
      </c>
      <c r="C1104" s="342" t="str">
        <f t="shared" si="50"/>
        <v>chape</v>
      </c>
      <c r="D1104" s="117"/>
      <c r="E1104" s="349"/>
      <c r="F1104" s="349"/>
      <c r="G1104" s="355"/>
    </row>
    <row r="1105" spans="1:7" x14ac:dyDescent="0.25">
      <c r="A1105" s="116" t="s">
        <v>152</v>
      </c>
      <c r="B1105" s="116" t="str">
        <f t="shared" si="49"/>
        <v>KILSTETT</v>
      </c>
      <c r="C1105" s="342" t="str">
        <f t="shared" si="50"/>
        <v>chantier en arrêt</v>
      </c>
      <c r="D1105" s="117"/>
      <c r="E1105" s="349"/>
      <c r="F1105" s="349"/>
      <c r="G1105" s="355"/>
    </row>
    <row r="1106" spans="1:7" x14ac:dyDescent="0.25">
      <c r="A1106" s="116" t="s">
        <v>218</v>
      </c>
      <c r="B1106" s="116" t="str">
        <f t="shared" si="49"/>
        <v>ESCHBACH</v>
      </c>
      <c r="C1106" s="342" t="str">
        <f t="shared" si="50"/>
        <v>couvert</v>
      </c>
      <c r="D1106" s="117"/>
      <c r="E1106" s="349"/>
      <c r="F1106" s="349"/>
      <c r="G1106" s="355"/>
    </row>
    <row r="1107" spans="1:7" x14ac:dyDescent="0.25">
      <c r="A1107" s="116" t="s">
        <v>163</v>
      </c>
      <c r="B1107" s="116" t="str">
        <f t="shared" si="49"/>
        <v>BISCHWILLER</v>
      </c>
      <c r="C1107" s="342" t="str">
        <f t="shared" si="50"/>
        <v>chape s42</v>
      </c>
      <c r="D1107" s="117"/>
      <c r="E1107" s="349"/>
      <c r="F1107" s="349"/>
      <c r="G1107" s="355"/>
    </row>
    <row r="1108" spans="1:7" x14ac:dyDescent="0.25">
      <c r="A1108" s="116" t="s">
        <v>153</v>
      </c>
      <c r="B1108" s="116" t="str">
        <f t="shared" si="49"/>
        <v>PFETTISHEIM</v>
      </c>
      <c r="C1108" s="342" t="str">
        <f t="shared" si="50"/>
        <v>à receptionner</v>
      </c>
      <c r="D1108" s="117"/>
      <c r="E1108" s="349"/>
      <c r="F1108" s="349"/>
      <c r="G1108" s="355"/>
    </row>
    <row r="1109" spans="1:7" x14ac:dyDescent="0.25">
      <c r="A1109" s="136" t="s">
        <v>201</v>
      </c>
      <c r="B1109" s="136" t="str">
        <f t="shared" si="49"/>
        <v>KINDWILLER</v>
      </c>
      <c r="C1109" s="343" t="str">
        <f t="shared" si="50"/>
        <v>clos couvert</v>
      </c>
      <c r="D1109" s="343"/>
      <c r="E1109" s="348"/>
      <c r="F1109" s="348"/>
      <c r="G1109" s="355"/>
    </row>
    <row r="1110" spans="1:7" x14ac:dyDescent="0.25">
      <c r="A1110" s="136" t="s">
        <v>180</v>
      </c>
      <c r="B1110" s="136" t="str">
        <f t="shared" si="49"/>
        <v>KILSTETT</v>
      </c>
      <c r="C1110" s="343" t="str">
        <f t="shared" si="50"/>
        <v>chape s42</v>
      </c>
      <c r="D1110" s="137"/>
      <c r="E1110" s="349"/>
      <c r="F1110" s="349"/>
      <c r="G1110" s="355"/>
    </row>
    <row r="1111" spans="1:7" x14ac:dyDescent="0.25">
      <c r="A1111" s="136" t="s">
        <v>214</v>
      </c>
      <c r="B1111" s="136" t="str">
        <f t="shared" si="49"/>
        <v>BUST</v>
      </c>
      <c r="C1111" s="137" t="str">
        <f t="shared" si="50"/>
        <v>couvert</v>
      </c>
      <c r="D1111" s="137"/>
      <c r="E1111" s="349"/>
      <c r="F1111" s="349"/>
      <c r="G1111" s="355"/>
    </row>
    <row r="1112" spans="1:7" x14ac:dyDescent="0.25">
      <c r="A1112" s="160" t="s">
        <v>202</v>
      </c>
      <c r="B1112" s="160" t="str">
        <f t="shared" si="49"/>
        <v>LUTZELHOUSE</v>
      </c>
      <c r="C1112" s="343" t="str">
        <f t="shared" si="50"/>
        <v>charpente</v>
      </c>
      <c r="D1112" s="343"/>
      <c r="E1112" s="349"/>
      <c r="F1112" s="348"/>
      <c r="G1112" s="356"/>
    </row>
    <row r="1113" spans="1:7" x14ac:dyDescent="0.25">
      <c r="A1113" s="160" t="s">
        <v>282</v>
      </c>
      <c r="B1113" s="160" t="str">
        <f t="shared" si="49"/>
        <v>BREUSCHWICKERSHEIM</v>
      </c>
      <c r="C1113" s="343" t="str">
        <f t="shared" si="50"/>
        <v>fondations</v>
      </c>
      <c r="D1113" s="343"/>
      <c r="E1113" s="349"/>
      <c r="F1113" s="348"/>
      <c r="G1113" s="356"/>
    </row>
    <row r="1114" spans="1:7" x14ac:dyDescent="0.25">
      <c r="A1114" s="160" t="s">
        <v>363</v>
      </c>
      <c r="B1114" s="160" t="str">
        <f t="shared" si="49"/>
        <v>GAMBSHEIM</v>
      </c>
      <c r="C1114" s="343" t="str">
        <f t="shared" si="50"/>
        <v>marchés en cours</v>
      </c>
      <c r="D1114" s="343"/>
      <c r="E1114" s="349"/>
      <c r="F1114" s="348"/>
      <c r="G1114" s="356"/>
    </row>
    <row r="1115" spans="1:7" x14ac:dyDescent="0.25">
      <c r="A1115" s="160" t="s">
        <v>364</v>
      </c>
      <c r="B1115" s="160" t="str">
        <f t="shared" si="49"/>
        <v>OBERLAUTERBACH</v>
      </c>
      <c r="C1115" s="343" t="str">
        <f t="shared" si="50"/>
        <v>marchés S43</v>
      </c>
      <c r="D1115" s="343"/>
      <c r="E1115" s="349"/>
      <c r="F1115" s="348"/>
      <c r="G1115" s="356"/>
    </row>
    <row r="1116" spans="1:7" x14ac:dyDescent="0.25">
      <c r="A1116" s="160" t="s">
        <v>181</v>
      </c>
      <c r="B1116" s="161" t="str">
        <f t="shared" si="49"/>
        <v>OBERMODERN-ZUTZENDORF</v>
      </c>
      <c r="C1116" s="343" t="str">
        <f>C1071</f>
        <v>chape s41</v>
      </c>
      <c r="D1116" s="137"/>
      <c r="E1116" s="348"/>
      <c r="F1116" s="348"/>
      <c r="G1116" s="356"/>
    </row>
    <row r="1117" spans="1:7" x14ac:dyDescent="0.25">
      <c r="A1117" s="160" t="s">
        <v>164</v>
      </c>
      <c r="B1117" s="161" t="str">
        <f t="shared" si="49"/>
        <v>WILDERSBACH</v>
      </c>
      <c r="C1117" s="343" t="str">
        <f>C1072</f>
        <v>à receptionner</v>
      </c>
      <c r="D1117" s="343"/>
      <c r="E1117" s="348"/>
      <c r="F1117" s="348"/>
      <c r="G1117" s="356"/>
    </row>
    <row r="1118" spans="1:7" x14ac:dyDescent="0.25">
      <c r="A1118" s="160" t="s">
        <v>248</v>
      </c>
      <c r="B1118" s="161" t="str">
        <f t="shared" si="49"/>
        <v>AVENHEIM</v>
      </c>
      <c r="C1118" s="343" t="str">
        <f>C1073</f>
        <v>dalle basse RDC</v>
      </c>
      <c r="D1118" s="343"/>
      <c r="E1118" s="348"/>
      <c r="F1118" s="348"/>
      <c r="G1118" s="356"/>
    </row>
    <row r="1119" spans="1:7" x14ac:dyDescent="0.25">
      <c r="A1119" s="160"/>
      <c r="B1119" s="343"/>
      <c r="C1119" s="343"/>
      <c r="D1119" s="148"/>
      <c r="E1119" s="348"/>
      <c r="F1119" s="348"/>
    </row>
    <row r="1123" spans="1:8" x14ac:dyDescent="0.25">
      <c r="A1123" s="407" t="s">
        <v>373</v>
      </c>
      <c r="B1123" s="407"/>
      <c r="C1123" s="407"/>
      <c r="D1123" s="407"/>
      <c r="E1123" s="407"/>
      <c r="F1123" s="407"/>
      <c r="G1123" s="407"/>
    </row>
    <row r="1124" spans="1:8" ht="15.75" thickBot="1" x14ac:dyDescent="0.3">
      <c r="A1124" s="407" t="s">
        <v>374</v>
      </c>
      <c r="B1124" s="407"/>
      <c r="C1124" s="407"/>
      <c r="D1124" s="407"/>
      <c r="E1124" s="407"/>
      <c r="F1124" s="407"/>
      <c r="G1124" s="407"/>
    </row>
    <row r="1125" spans="1:8" ht="15" customHeight="1" x14ac:dyDescent="0.25">
      <c r="C1125" s="401" t="s">
        <v>80</v>
      </c>
      <c r="D1125" s="402"/>
    </row>
    <row r="1126" spans="1:8" ht="6.75" customHeight="1" x14ac:dyDescent="0.25">
      <c r="C1126" s="403"/>
      <c r="D1126" s="404"/>
    </row>
    <row r="1127" spans="1:8" ht="27" customHeight="1" thickBot="1" x14ac:dyDescent="0.3">
      <c r="C1127" s="405"/>
      <c r="D1127" s="406"/>
    </row>
    <row r="1128" spans="1:8" ht="27" customHeight="1" thickBot="1" x14ac:dyDescent="0.3">
      <c r="C1128" s="121" t="s">
        <v>1</v>
      </c>
      <c r="D1128" s="113">
        <f ca="1">D948</f>
        <v>41</v>
      </c>
    </row>
    <row r="1129" spans="1:8" ht="15" customHeight="1" x14ac:dyDescent="0.25">
      <c r="C1129" s="124"/>
      <c r="H1129" s="119"/>
    </row>
    <row r="1130" spans="1:8" ht="10.5" customHeight="1" x14ac:dyDescent="0.25">
      <c r="C1130" s="109"/>
      <c r="D1130" s="109"/>
      <c r="E1130" s="348"/>
      <c r="F1130" s="348"/>
    </row>
    <row r="1131" spans="1:8" ht="21.75" customHeight="1" x14ac:dyDescent="0.4">
      <c r="B1131" s="114" t="s">
        <v>77</v>
      </c>
      <c r="C1131" s="114" t="s">
        <v>43</v>
      </c>
      <c r="D1131" s="342" t="s">
        <v>182</v>
      </c>
      <c r="E1131" s="141"/>
      <c r="F1131" s="348"/>
    </row>
    <row r="1132" spans="1:8" ht="16.5" customHeight="1" x14ac:dyDescent="0.3">
      <c r="C1132" s="110"/>
      <c r="D1132" s="109"/>
      <c r="E1132" s="348"/>
      <c r="F1132" s="348"/>
    </row>
    <row r="1133" spans="1:8" s="138" customFormat="1" ht="16.5" customHeight="1" x14ac:dyDescent="0.25">
      <c r="A1133" s="369" t="s">
        <v>78</v>
      </c>
      <c r="B1133" s="369" t="s">
        <v>294</v>
      </c>
      <c r="C1133" s="141" t="s">
        <v>79</v>
      </c>
      <c r="D1133" s="112" t="s">
        <v>375</v>
      </c>
      <c r="E1133" s="348" t="s">
        <v>352</v>
      </c>
      <c r="F1133" s="348" t="s">
        <v>369</v>
      </c>
      <c r="G1133" s="141" t="s">
        <v>126</v>
      </c>
    </row>
    <row r="1134" spans="1:8" ht="16.5" customHeight="1" x14ac:dyDescent="0.25">
      <c r="A1134" s="111" t="s">
        <v>213</v>
      </c>
      <c r="B1134" s="111" t="str">
        <f t="shared" ref="B1134:B1163" si="51">B10</f>
        <v>PFETTISHEIM</v>
      </c>
      <c r="C1134" s="342" t="str">
        <f t="shared" ref="C1134:C1160" si="52">C1089</f>
        <v>pignons</v>
      </c>
      <c r="D1134" s="115"/>
      <c r="E1134" s="348"/>
      <c r="F1134" s="348"/>
      <c r="G1134" s="354"/>
    </row>
    <row r="1135" spans="1:8" x14ac:dyDescent="0.25">
      <c r="A1135" s="116" t="s">
        <v>278</v>
      </c>
      <c r="B1135" s="116" t="str">
        <f t="shared" si="51"/>
        <v>BLIENSCHWILLER</v>
      </c>
      <c r="C1135" s="342" t="str">
        <f t="shared" si="52"/>
        <v>fondations</v>
      </c>
      <c r="D1135" s="117"/>
      <c r="E1135" s="348"/>
      <c r="F1135" s="349"/>
      <c r="G1135" s="355"/>
    </row>
    <row r="1136" spans="1:8" x14ac:dyDescent="0.25">
      <c r="A1136" s="116" t="s">
        <v>259</v>
      </c>
      <c r="B1136" s="116" t="str">
        <f t="shared" si="51"/>
        <v>BERSTHEIM</v>
      </c>
      <c r="C1136" s="342" t="str">
        <f t="shared" si="52"/>
        <v>dalle basse RDC</v>
      </c>
      <c r="D1136" s="117"/>
      <c r="E1136" s="348"/>
      <c r="F1136" s="349"/>
      <c r="G1136" s="355"/>
    </row>
    <row r="1137" spans="1:7" x14ac:dyDescent="0.25">
      <c r="A1137" s="116" t="s">
        <v>279</v>
      </c>
      <c r="B1137" s="116" t="str">
        <f t="shared" si="51"/>
        <v>FRIEDOLSHEIM</v>
      </c>
      <c r="C1137" s="342" t="str">
        <f t="shared" si="52"/>
        <v>dalle basse RDC</v>
      </c>
      <c r="D1137" s="117"/>
      <c r="E1137" s="348"/>
      <c r="F1137" s="349"/>
      <c r="G1137" s="355"/>
    </row>
    <row r="1138" spans="1:7" x14ac:dyDescent="0.25">
      <c r="A1138" s="116" t="s">
        <v>179</v>
      </c>
      <c r="B1138" s="116" t="str">
        <f t="shared" si="51"/>
        <v>GERTSHEIM</v>
      </c>
      <c r="C1138" s="342" t="str">
        <f t="shared" si="52"/>
        <v>à receptionner</v>
      </c>
      <c r="D1138" s="117"/>
      <c r="E1138" s="348"/>
      <c r="F1138" s="349"/>
      <c r="G1138" s="355"/>
    </row>
    <row r="1139" spans="1:7" x14ac:dyDescent="0.25">
      <c r="A1139" s="116" t="s">
        <v>197</v>
      </c>
      <c r="B1139" s="116" t="str">
        <f t="shared" si="51"/>
        <v>STRASBOURG</v>
      </c>
      <c r="C1139" s="342" t="str">
        <f t="shared" si="52"/>
        <v>chape s42</v>
      </c>
      <c r="D1139" s="343" t="s">
        <v>103</v>
      </c>
      <c r="E1139" s="348">
        <v>42</v>
      </c>
      <c r="F1139" s="348"/>
      <c r="G1139" s="355"/>
    </row>
    <row r="1140" spans="1:7" x14ac:dyDescent="0.25">
      <c r="A1140" s="116" t="s">
        <v>280</v>
      </c>
      <c r="B1140" s="116" t="str">
        <f t="shared" si="51"/>
        <v>HENGWILLER</v>
      </c>
      <c r="C1140" s="342" t="str">
        <f t="shared" si="52"/>
        <v>soubassement</v>
      </c>
      <c r="D1140" s="117"/>
      <c r="E1140" s="348"/>
      <c r="F1140" s="349"/>
      <c r="G1140" s="355"/>
    </row>
    <row r="1141" spans="1:7" x14ac:dyDescent="0.25">
      <c r="A1141" s="116" t="s">
        <v>198</v>
      </c>
      <c r="B1141" s="116" t="str">
        <f t="shared" si="51"/>
        <v>HANGENBIENTEN</v>
      </c>
      <c r="C1141" s="342" t="str">
        <f t="shared" si="52"/>
        <v>dalle basse RDC</v>
      </c>
      <c r="D1141" s="117"/>
      <c r="E1141" s="348"/>
      <c r="F1141" s="349"/>
      <c r="G1141" s="355"/>
    </row>
    <row r="1142" spans="1:7" x14ac:dyDescent="0.25">
      <c r="A1142" s="116" t="s">
        <v>281</v>
      </c>
      <c r="B1142" s="116" t="str">
        <f t="shared" si="51"/>
        <v>OBERHOFFEN</v>
      </c>
      <c r="C1142" s="342" t="str">
        <f t="shared" si="52"/>
        <v>dalle basse RDC</v>
      </c>
      <c r="D1142" s="117"/>
      <c r="E1142" s="348"/>
      <c r="F1142" s="349"/>
      <c r="G1142" s="355"/>
    </row>
    <row r="1143" spans="1:7" x14ac:dyDescent="0.25">
      <c r="A1143" s="116" t="s">
        <v>199</v>
      </c>
      <c r="B1143" s="116" t="str">
        <f t="shared" si="51"/>
        <v>EBERSHEIM</v>
      </c>
      <c r="C1143" s="342" t="str">
        <f t="shared" si="52"/>
        <v>couvert</v>
      </c>
      <c r="D1143" s="117"/>
      <c r="E1143" s="348"/>
      <c r="F1143" s="349"/>
      <c r="G1143" s="355"/>
    </row>
    <row r="1144" spans="1:7" x14ac:dyDescent="0.25">
      <c r="A1144" s="116" t="s">
        <v>256</v>
      </c>
      <c r="B1144" s="116" t="str">
        <f t="shared" si="51"/>
        <v>DINSHEIM S/ BRUCHE</v>
      </c>
      <c r="C1144" s="342" t="str">
        <f t="shared" si="52"/>
        <v>GO fini</v>
      </c>
      <c r="D1144" s="117"/>
      <c r="E1144" s="348"/>
      <c r="F1144" s="349"/>
      <c r="G1144" s="162"/>
    </row>
    <row r="1145" spans="1:7" x14ac:dyDescent="0.25">
      <c r="A1145" s="116" t="s">
        <v>357</v>
      </c>
      <c r="B1145" s="116" t="str">
        <f t="shared" si="51"/>
        <v>MOLSHEIM</v>
      </c>
      <c r="C1145" s="342" t="str">
        <f t="shared" si="52"/>
        <v>marchés en cours</v>
      </c>
      <c r="D1145" s="117"/>
      <c r="E1145" s="348"/>
      <c r="F1145" s="349"/>
      <c r="G1145" s="355"/>
    </row>
    <row r="1146" spans="1:7" x14ac:dyDescent="0.25">
      <c r="A1146" s="116" t="s">
        <v>200</v>
      </c>
      <c r="B1146" s="116" t="str">
        <f t="shared" si="51"/>
        <v>KLEINFRANKENHEIM</v>
      </c>
      <c r="C1146" s="342" t="str">
        <f t="shared" si="52"/>
        <v>second œuvre en cours charge client</v>
      </c>
      <c r="D1146" s="343" t="s">
        <v>103</v>
      </c>
      <c r="E1146" s="348">
        <v>42</v>
      </c>
      <c r="F1146" s="348"/>
      <c r="G1146" s="355" t="s">
        <v>349</v>
      </c>
    </row>
    <row r="1147" spans="1:7" x14ac:dyDescent="0.25">
      <c r="A1147" s="116" t="s">
        <v>161</v>
      </c>
      <c r="B1147" s="116" t="str">
        <f t="shared" si="51"/>
        <v>HANGENBIENTEN</v>
      </c>
      <c r="C1147" s="342" t="str">
        <f t="shared" si="52"/>
        <v>chape</v>
      </c>
      <c r="D1147" s="117"/>
      <c r="E1147" s="348"/>
      <c r="F1147" s="349"/>
      <c r="G1147" s="355"/>
    </row>
    <row r="1148" spans="1:7" x14ac:dyDescent="0.25">
      <c r="A1148" s="116" t="s">
        <v>185</v>
      </c>
      <c r="B1148" s="116" t="str">
        <f t="shared" si="51"/>
        <v>PETERSBACH</v>
      </c>
      <c r="C1148" s="342" t="str">
        <f t="shared" si="52"/>
        <v>couvert</v>
      </c>
      <c r="D1148" s="117"/>
      <c r="E1148" s="348"/>
      <c r="F1148" s="349"/>
      <c r="G1148" s="355"/>
    </row>
    <row r="1149" spans="1:7" x14ac:dyDescent="0.25">
      <c r="A1149" s="116" t="s">
        <v>162</v>
      </c>
      <c r="B1149" s="116" t="str">
        <f t="shared" si="51"/>
        <v>ENTZHEIM</v>
      </c>
      <c r="C1149" s="342" t="str">
        <f t="shared" si="52"/>
        <v>chape</v>
      </c>
      <c r="D1149" s="117"/>
      <c r="E1149" s="348"/>
      <c r="F1149" s="349"/>
      <c r="G1149" s="355"/>
    </row>
    <row r="1150" spans="1:7" x14ac:dyDescent="0.25">
      <c r="A1150" s="116" t="s">
        <v>152</v>
      </c>
      <c r="B1150" s="116" t="str">
        <f t="shared" si="51"/>
        <v>KILSTETT</v>
      </c>
      <c r="C1150" s="342" t="str">
        <f t="shared" si="52"/>
        <v>chantier en arrêt</v>
      </c>
      <c r="D1150" s="117"/>
      <c r="E1150" s="348"/>
      <c r="F1150" s="349"/>
      <c r="G1150" s="355"/>
    </row>
    <row r="1151" spans="1:7" x14ac:dyDescent="0.25">
      <c r="A1151" s="116" t="s">
        <v>218</v>
      </c>
      <c r="B1151" s="116" t="str">
        <f t="shared" si="51"/>
        <v>ESCHBACH</v>
      </c>
      <c r="C1151" s="342" t="str">
        <f t="shared" si="52"/>
        <v>couvert</v>
      </c>
      <c r="D1151" s="117"/>
      <c r="E1151" s="348"/>
      <c r="F1151" s="349"/>
      <c r="G1151" s="355"/>
    </row>
    <row r="1152" spans="1:7" x14ac:dyDescent="0.25">
      <c r="A1152" s="116" t="s">
        <v>163</v>
      </c>
      <c r="B1152" s="116" t="str">
        <f t="shared" si="51"/>
        <v>BISCHWILLER</v>
      </c>
      <c r="C1152" s="342" t="str">
        <f t="shared" si="52"/>
        <v>chape s42</v>
      </c>
      <c r="D1152" s="117"/>
      <c r="E1152" s="348"/>
      <c r="F1152" s="349"/>
      <c r="G1152" s="355"/>
    </row>
    <row r="1153" spans="1:7" x14ac:dyDescent="0.25">
      <c r="A1153" s="116" t="s">
        <v>153</v>
      </c>
      <c r="B1153" s="116" t="str">
        <f t="shared" si="51"/>
        <v>PFETTISHEIM</v>
      </c>
      <c r="C1153" s="342" t="str">
        <f t="shared" si="52"/>
        <v>à receptionner</v>
      </c>
      <c r="D1153" s="117"/>
      <c r="E1153" s="348"/>
      <c r="F1153" s="349"/>
      <c r="G1153" s="355"/>
    </row>
    <row r="1154" spans="1:7" x14ac:dyDescent="0.25">
      <c r="A1154" s="116" t="s">
        <v>201</v>
      </c>
      <c r="B1154" s="116" t="str">
        <f t="shared" si="51"/>
        <v>KINDWILLER</v>
      </c>
      <c r="C1154" s="342" t="str">
        <f t="shared" si="52"/>
        <v>clos couvert</v>
      </c>
      <c r="D1154" s="117"/>
      <c r="E1154" s="348"/>
      <c r="F1154" s="349"/>
      <c r="G1154" s="355"/>
    </row>
    <row r="1155" spans="1:7" x14ac:dyDescent="0.25">
      <c r="A1155" s="136" t="s">
        <v>180</v>
      </c>
      <c r="B1155" s="136" t="str">
        <f t="shared" si="51"/>
        <v>KILSTETT</v>
      </c>
      <c r="C1155" s="343" t="str">
        <f t="shared" si="52"/>
        <v>chape s42</v>
      </c>
      <c r="D1155" s="137"/>
      <c r="E1155" s="348"/>
      <c r="F1155" s="349"/>
      <c r="G1155" s="355"/>
    </row>
    <row r="1156" spans="1:7" x14ac:dyDescent="0.25">
      <c r="A1156" s="136" t="s">
        <v>214</v>
      </c>
      <c r="B1156" s="136" t="str">
        <f t="shared" si="51"/>
        <v>BUST</v>
      </c>
      <c r="C1156" s="137" t="str">
        <f t="shared" si="52"/>
        <v>couvert</v>
      </c>
      <c r="D1156" s="137"/>
      <c r="E1156" s="348"/>
      <c r="F1156" s="349"/>
      <c r="G1156" s="355"/>
    </row>
    <row r="1157" spans="1:7" x14ac:dyDescent="0.25">
      <c r="A1157" s="160" t="s">
        <v>202</v>
      </c>
      <c r="B1157" s="160" t="str">
        <f t="shared" si="51"/>
        <v>LUTZELHOUSE</v>
      </c>
      <c r="C1157" s="343" t="str">
        <f t="shared" si="52"/>
        <v>charpente</v>
      </c>
      <c r="D1157" s="343"/>
      <c r="E1157" s="348"/>
      <c r="F1157" s="348"/>
      <c r="G1157" s="356"/>
    </row>
    <row r="1158" spans="1:7" x14ac:dyDescent="0.25">
      <c r="A1158" s="160" t="s">
        <v>282</v>
      </c>
      <c r="B1158" s="160" t="str">
        <f t="shared" si="51"/>
        <v>BREUSCHWICKERSHEIM</v>
      </c>
      <c r="C1158" s="343" t="str">
        <f t="shared" si="52"/>
        <v>fondations</v>
      </c>
      <c r="D1158" s="343"/>
      <c r="E1158" s="348"/>
      <c r="F1158" s="348"/>
      <c r="G1158" s="356"/>
    </row>
    <row r="1159" spans="1:7" x14ac:dyDescent="0.25">
      <c r="A1159" s="160" t="s">
        <v>363</v>
      </c>
      <c r="B1159" s="160" t="str">
        <f t="shared" si="51"/>
        <v>GAMBSHEIM</v>
      </c>
      <c r="C1159" s="343" t="str">
        <f t="shared" si="52"/>
        <v>marchés en cours</v>
      </c>
      <c r="D1159" s="343"/>
      <c r="E1159" s="348"/>
      <c r="F1159" s="348"/>
      <c r="G1159" s="356"/>
    </row>
    <row r="1160" spans="1:7" x14ac:dyDescent="0.25">
      <c r="A1160" s="160" t="s">
        <v>364</v>
      </c>
      <c r="B1160" s="160" t="str">
        <f t="shared" si="51"/>
        <v>OBERLAUTERBACH</v>
      </c>
      <c r="C1160" s="343" t="str">
        <f t="shared" si="52"/>
        <v>marchés S43</v>
      </c>
      <c r="D1160" s="343"/>
      <c r="E1160" s="348"/>
      <c r="F1160" s="348"/>
      <c r="G1160" s="356"/>
    </row>
    <row r="1161" spans="1:7" x14ac:dyDescent="0.25">
      <c r="A1161" s="160" t="s">
        <v>181</v>
      </c>
      <c r="B1161" s="161" t="str">
        <f t="shared" si="51"/>
        <v>OBERMODERN-ZUTZENDORF</v>
      </c>
      <c r="C1161" s="343" t="str">
        <f>C1116</f>
        <v>chape s41</v>
      </c>
      <c r="D1161" s="343"/>
      <c r="E1161" s="348"/>
      <c r="F1161" s="348"/>
      <c r="G1161" s="356"/>
    </row>
    <row r="1162" spans="1:7" x14ac:dyDescent="0.25">
      <c r="A1162" s="160" t="s">
        <v>164</v>
      </c>
      <c r="B1162" s="161" t="str">
        <f t="shared" si="51"/>
        <v>WILDERSBACH</v>
      </c>
      <c r="C1162" s="343" t="str">
        <f>C1117</f>
        <v>à receptionner</v>
      </c>
      <c r="D1162" s="343"/>
      <c r="E1162" s="348"/>
      <c r="F1162" s="348"/>
      <c r="G1162" s="356"/>
    </row>
    <row r="1163" spans="1:7" x14ac:dyDescent="0.25">
      <c r="A1163" s="160" t="s">
        <v>248</v>
      </c>
      <c r="B1163" s="161" t="str">
        <f t="shared" si="51"/>
        <v>AVENHEIM</v>
      </c>
      <c r="C1163" s="343" t="str">
        <f>C1118</f>
        <v>dalle basse RDC</v>
      </c>
      <c r="D1163" s="343"/>
      <c r="E1163" s="348"/>
      <c r="F1163" s="348"/>
      <c r="G1163" s="356"/>
    </row>
    <row r="1164" spans="1:7" x14ac:dyDescent="0.25">
      <c r="A1164" s="160"/>
      <c r="B1164" s="343"/>
      <c r="C1164" s="343"/>
      <c r="D1164" s="148"/>
      <c r="E1164" s="348"/>
      <c r="F1164" s="348"/>
    </row>
    <row r="1168" spans="1:7" x14ac:dyDescent="0.25">
      <c r="A1168" s="407" t="s">
        <v>373</v>
      </c>
      <c r="B1168" s="407"/>
      <c r="C1168" s="407"/>
      <c r="D1168" s="407"/>
      <c r="E1168" s="407"/>
      <c r="F1168" s="407"/>
      <c r="G1168" s="407"/>
    </row>
    <row r="1169" spans="1:8" ht="15.75" thickBot="1" x14ac:dyDescent="0.3">
      <c r="A1169" s="407" t="s">
        <v>374</v>
      </c>
      <c r="B1169" s="407"/>
      <c r="C1169" s="407"/>
      <c r="D1169" s="407"/>
      <c r="E1169" s="407"/>
      <c r="F1169" s="407"/>
      <c r="G1169" s="407"/>
    </row>
    <row r="1170" spans="1:8" ht="15" customHeight="1" x14ac:dyDescent="0.25">
      <c r="C1170" s="401" t="s">
        <v>80</v>
      </c>
      <c r="D1170" s="402"/>
    </row>
    <row r="1171" spans="1:8" ht="6.75" customHeight="1" x14ac:dyDescent="0.25">
      <c r="C1171" s="403"/>
      <c r="D1171" s="404"/>
    </row>
    <row r="1172" spans="1:8" ht="27" customHeight="1" thickBot="1" x14ac:dyDescent="0.3">
      <c r="C1172" s="405"/>
      <c r="D1172" s="406"/>
    </row>
    <row r="1173" spans="1:8" ht="27" customHeight="1" thickBot="1" x14ac:dyDescent="0.3">
      <c r="C1173" s="121" t="s">
        <v>1</v>
      </c>
      <c r="D1173" s="113">
        <f ca="1">D993</f>
        <v>41</v>
      </c>
    </row>
    <row r="1174" spans="1:8" ht="15" customHeight="1" x14ac:dyDescent="0.25">
      <c r="C1174" s="124"/>
      <c r="H1174" s="119"/>
    </row>
    <row r="1175" spans="1:8" ht="10.5" customHeight="1" x14ac:dyDescent="0.25">
      <c r="C1175" s="109"/>
      <c r="D1175" s="109"/>
      <c r="E1175" s="348"/>
      <c r="F1175" s="348"/>
    </row>
    <row r="1176" spans="1:8" ht="21.75" customHeight="1" x14ac:dyDescent="0.4">
      <c r="B1176" s="114" t="s">
        <v>77</v>
      </c>
      <c r="C1176" s="114" t="s">
        <v>57</v>
      </c>
      <c r="D1176" s="342" t="s">
        <v>97</v>
      </c>
      <c r="E1176" s="141"/>
      <c r="F1176" s="348"/>
    </row>
    <row r="1177" spans="1:8" ht="16.5" customHeight="1" x14ac:dyDescent="0.3">
      <c r="C1177" s="110"/>
      <c r="D1177" s="109"/>
      <c r="E1177" s="348"/>
      <c r="F1177" s="348"/>
    </row>
    <row r="1178" spans="1:8" s="138" customFormat="1" ht="16.5" customHeight="1" x14ac:dyDescent="0.25">
      <c r="A1178" s="369" t="s">
        <v>78</v>
      </c>
      <c r="B1178" s="369" t="s">
        <v>294</v>
      </c>
      <c r="C1178" s="141" t="s">
        <v>79</v>
      </c>
      <c r="D1178" s="112" t="s">
        <v>375</v>
      </c>
      <c r="E1178" s="348" t="s">
        <v>352</v>
      </c>
      <c r="F1178" s="348" t="s">
        <v>369</v>
      </c>
      <c r="G1178" s="141" t="s">
        <v>126</v>
      </c>
    </row>
    <row r="1179" spans="1:8" ht="16.5" customHeight="1" x14ac:dyDescent="0.25">
      <c r="A1179" s="111" t="s">
        <v>213</v>
      </c>
      <c r="B1179" s="111" t="str">
        <f t="shared" ref="B1179:B1208" si="53">B10</f>
        <v>PFETTISHEIM</v>
      </c>
      <c r="C1179" s="342" t="str">
        <f t="shared" ref="C1179:C1205" si="54">C1134</f>
        <v>pignons</v>
      </c>
      <c r="D1179" s="141" t="s">
        <v>231</v>
      </c>
      <c r="E1179" s="349">
        <v>50</v>
      </c>
      <c r="F1179" s="348"/>
      <c r="G1179" s="354"/>
    </row>
    <row r="1180" spans="1:8" x14ac:dyDescent="0.25">
      <c r="A1180" s="116" t="s">
        <v>278</v>
      </c>
      <c r="B1180" s="116" t="str">
        <f t="shared" si="53"/>
        <v>BLIENSCHWILLER</v>
      </c>
      <c r="C1180" s="342" t="str">
        <f t="shared" si="54"/>
        <v>fondations</v>
      </c>
      <c r="D1180" s="141" t="s">
        <v>231</v>
      </c>
      <c r="E1180" s="349">
        <v>5</v>
      </c>
      <c r="F1180" s="349"/>
      <c r="G1180" s="355"/>
    </row>
    <row r="1181" spans="1:8" x14ac:dyDescent="0.25">
      <c r="A1181" s="116" t="s">
        <v>259</v>
      </c>
      <c r="B1181" s="116" t="str">
        <f t="shared" si="53"/>
        <v>BERSTHEIM</v>
      </c>
      <c r="C1181" s="342" t="str">
        <f t="shared" si="54"/>
        <v>dalle basse RDC</v>
      </c>
      <c r="D1181" s="141" t="s">
        <v>231</v>
      </c>
      <c r="E1181" s="349">
        <v>4</v>
      </c>
      <c r="F1181" s="349"/>
      <c r="G1181" s="355"/>
    </row>
    <row r="1182" spans="1:8" x14ac:dyDescent="0.25">
      <c r="A1182" s="116" t="s">
        <v>279</v>
      </c>
      <c r="B1182" s="116" t="str">
        <f t="shared" si="53"/>
        <v>FRIEDOLSHEIM</v>
      </c>
      <c r="C1182" s="342" t="str">
        <f t="shared" si="54"/>
        <v>dalle basse RDC</v>
      </c>
      <c r="D1182" s="141" t="s">
        <v>231</v>
      </c>
      <c r="E1182" s="349">
        <v>3</v>
      </c>
      <c r="F1182" s="349"/>
      <c r="G1182" s="355"/>
    </row>
    <row r="1183" spans="1:8" x14ac:dyDescent="0.25">
      <c r="A1183" s="116" t="s">
        <v>179</v>
      </c>
      <c r="B1183" s="116" t="str">
        <f t="shared" si="53"/>
        <v>GERTSHEIM</v>
      </c>
      <c r="C1183" s="342" t="str">
        <f t="shared" si="54"/>
        <v>à receptionner</v>
      </c>
      <c r="D1183" s="141" t="s">
        <v>231</v>
      </c>
      <c r="E1183" s="349">
        <v>42</v>
      </c>
      <c r="F1183" s="349"/>
      <c r="G1183" s="355"/>
    </row>
    <row r="1184" spans="1:8" x14ac:dyDescent="0.25">
      <c r="A1184" s="116" t="s">
        <v>197</v>
      </c>
      <c r="B1184" s="116" t="str">
        <f t="shared" si="53"/>
        <v>STRASBOURG</v>
      </c>
      <c r="C1184" s="342" t="str">
        <f t="shared" si="54"/>
        <v>chape s42</v>
      </c>
      <c r="D1184" s="141" t="s">
        <v>231</v>
      </c>
      <c r="E1184" s="349">
        <v>45</v>
      </c>
      <c r="F1184" s="349"/>
      <c r="G1184" s="355"/>
    </row>
    <row r="1185" spans="1:7" x14ac:dyDescent="0.25">
      <c r="A1185" s="116" t="s">
        <v>280</v>
      </c>
      <c r="B1185" s="116" t="str">
        <f t="shared" si="53"/>
        <v>HENGWILLER</v>
      </c>
      <c r="C1185" s="342" t="str">
        <f t="shared" si="54"/>
        <v>soubassement</v>
      </c>
      <c r="D1185" s="141"/>
      <c r="E1185" s="349"/>
      <c r="F1185" s="349"/>
      <c r="G1185" s="355"/>
    </row>
    <row r="1186" spans="1:7" x14ac:dyDescent="0.25">
      <c r="A1186" s="116" t="s">
        <v>198</v>
      </c>
      <c r="B1186" s="116" t="str">
        <f t="shared" si="53"/>
        <v>HANGENBIENTEN</v>
      </c>
      <c r="C1186" s="342" t="str">
        <f t="shared" si="54"/>
        <v>dalle basse RDC</v>
      </c>
      <c r="D1186" s="141"/>
      <c r="E1186" s="349"/>
      <c r="F1186" s="349"/>
      <c r="G1186" s="355"/>
    </row>
    <row r="1187" spans="1:7" x14ac:dyDescent="0.25">
      <c r="A1187" s="116" t="s">
        <v>281</v>
      </c>
      <c r="B1187" s="116" t="str">
        <f t="shared" si="53"/>
        <v>OBERHOFFEN</v>
      </c>
      <c r="C1187" s="342" t="str">
        <f t="shared" si="54"/>
        <v>dalle basse RDC</v>
      </c>
      <c r="D1187" s="141" t="s">
        <v>231</v>
      </c>
      <c r="E1187" s="349">
        <v>6</v>
      </c>
      <c r="F1187" s="349"/>
      <c r="G1187" s="355"/>
    </row>
    <row r="1188" spans="1:7" x14ac:dyDescent="0.25">
      <c r="A1188" s="116" t="s">
        <v>199</v>
      </c>
      <c r="B1188" s="116" t="str">
        <f t="shared" si="53"/>
        <v>EBERSHEIM</v>
      </c>
      <c r="C1188" s="342" t="str">
        <f t="shared" si="54"/>
        <v>couvert</v>
      </c>
      <c r="D1188" s="141" t="s">
        <v>231</v>
      </c>
      <c r="E1188" s="349">
        <v>47</v>
      </c>
      <c r="F1188" s="349"/>
      <c r="G1188" s="355"/>
    </row>
    <row r="1189" spans="1:7" x14ac:dyDescent="0.25">
      <c r="A1189" s="116" t="s">
        <v>256</v>
      </c>
      <c r="B1189" s="116" t="str">
        <f t="shared" si="53"/>
        <v>DINSHEIM S/ BRUCHE</v>
      </c>
      <c r="C1189" s="342" t="str">
        <f t="shared" si="54"/>
        <v>GO fini</v>
      </c>
      <c r="D1189" s="141" t="s">
        <v>231</v>
      </c>
      <c r="E1189" s="349">
        <v>49</v>
      </c>
      <c r="F1189" s="349"/>
      <c r="G1189" s="355"/>
    </row>
    <row r="1190" spans="1:7" x14ac:dyDescent="0.25">
      <c r="A1190" s="116" t="s">
        <v>357</v>
      </c>
      <c r="B1190" s="116" t="str">
        <f t="shared" si="53"/>
        <v>MOLSHEIM</v>
      </c>
      <c r="C1190" s="342" t="str">
        <f t="shared" si="54"/>
        <v>marchés en cours</v>
      </c>
      <c r="D1190" s="141" t="s">
        <v>231</v>
      </c>
      <c r="E1190" s="349">
        <v>48</v>
      </c>
      <c r="F1190" s="349"/>
      <c r="G1190" s="355"/>
    </row>
    <row r="1191" spans="1:7" x14ac:dyDescent="0.25">
      <c r="A1191" s="116" t="s">
        <v>200</v>
      </c>
      <c r="B1191" s="116" t="str">
        <f t="shared" si="53"/>
        <v>KLEINFRANKENHEIM</v>
      </c>
      <c r="C1191" s="342" t="str">
        <f t="shared" si="54"/>
        <v>second œuvre en cours charge client</v>
      </c>
      <c r="D1191" s="141" t="s">
        <v>231</v>
      </c>
      <c r="E1191" s="349">
        <v>43</v>
      </c>
      <c r="F1191" s="349"/>
      <c r="G1191" s="355"/>
    </row>
    <row r="1192" spans="1:7" x14ac:dyDescent="0.25">
      <c r="A1192" s="116" t="s">
        <v>161</v>
      </c>
      <c r="B1192" s="116" t="str">
        <f t="shared" si="53"/>
        <v>HANGENBIENTEN</v>
      </c>
      <c r="C1192" s="342" t="str">
        <f t="shared" si="54"/>
        <v>chape</v>
      </c>
      <c r="D1192" s="141" t="s">
        <v>231</v>
      </c>
      <c r="E1192" s="349">
        <v>48</v>
      </c>
      <c r="F1192" s="349"/>
      <c r="G1192" s="355"/>
    </row>
    <row r="1193" spans="1:7" x14ac:dyDescent="0.25">
      <c r="A1193" s="116" t="s">
        <v>185</v>
      </c>
      <c r="B1193" s="116" t="str">
        <f t="shared" si="53"/>
        <v>PETERSBACH</v>
      </c>
      <c r="C1193" s="342" t="str">
        <f t="shared" si="54"/>
        <v>couvert</v>
      </c>
      <c r="D1193" s="141" t="s">
        <v>231</v>
      </c>
      <c r="E1193" s="349">
        <v>45</v>
      </c>
      <c r="F1193" s="349"/>
      <c r="G1193" s="355"/>
    </row>
    <row r="1194" spans="1:7" x14ac:dyDescent="0.25">
      <c r="A1194" s="116" t="s">
        <v>162</v>
      </c>
      <c r="B1194" s="116" t="str">
        <f t="shared" si="53"/>
        <v>ENTZHEIM</v>
      </c>
      <c r="C1194" s="342" t="str">
        <f t="shared" si="54"/>
        <v>chape</v>
      </c>
      <c r="D1194" s="141"/>
      <c r="E1194" s="349"/>
      <c r="F1194" s="349"/>
      <c r="G1194" s="355"/>
    </row>
    <row r="1195" spans="1:7" x14ac:dyDescent="0.25">
      <c r="A1195" s="116" t="s">
        <v>152</v>
      </c>
      <c r="B1195" s="116" t="str">
        <f t="shared" si="53"/>
        <v>KILSTETT</v>
      </c>
      <c r="C1195" s="342" t="str">
        <f t="shared" si="54"/>
        <v>chantier en arrêt</v>
      </c>
      <c r="D1195" s="141" t="s">
        <v>231</v>
      </c>
      <c r="E1195" s="349">
        <v>2</v>
      </c>
      <c r="F1195" s="349"/>
      <c r="G1195" s="355"/>
    </row>
    <row r="1196" spans="1:7" x14ac:dyDescent="0.25">
      <c r="A1196" s="116" t="s">
        <v>218</v>
      </c>
      <c r="B1196" s="116" t="str">
        <f t="shared" si="53"/>
        <v>ESCHBACH</v>
      </c>
      <c r="C1196" s="342" t="str">
        <f t="shared" si="54"/>
        <v>couvert</v>
      </c>
      <c r="D1196" s="141" t="s">
        <v>231</v>
      </c>
      <c r="E1196" s="349">
        <v>47</v>
      </c>
      <c r="F1196" s="349"/>
      <c r="G1196" s="355"/>
    </row>
    <row r="1197" spans="1:7" x14ac:dyDescent="0.25">
      <c r="A1197" s="116" t="s">
        <v>163</v>
      </c>
      <c r="B1197" s="116" t="str">
        <f t="shared" si="53"/>
        <v>BISCHWILLER</v>
      </c>
      <c r="C1197" s="342" t="str">
        <f t="shared" si="54"/>
        <v>chape s42</v>
      </c>
      <c r="D1197" s="141"/>
      <c r="E1197" s="349"/>
      <c r="F1197" s="349"/>
      <c r="G1197" s="355"/>
    </row>
    <row r="1198" spans="1:7" x14ac:dyDescent="0.25">
      <c r="A1198" s="116" t="s">
        <v>153</v>
      </c>
      <c r="B1198" s="116" t="str">
        <f t="shared" si="53"/>
        <v>PFETTISHEIM</v>
      </c>
      <c r="C1198" s="342" t="str">
        <f t="shared" si="54"/>
        <v>à receptionner</v>
      </c>
      <c r="D1198" s="141" t="s">
        <v>231</v>
      </c>
      <c r="E1198" s="349">
        <v>48</v>
      </c>
      <c r="F1198" s="349"/>
      <c r="G1198" s="355"/>
    </row>
    <row r="1199" spans="1:7" x14ac:dyDescent="0.25">
      <c r="A1199" s="116" t="s">
        <v>201</v>
      </c>
      <c r="B1199" s="116" t="str">
        <f t="shared" si="53"/>
        <v>KINDWILLER</v>
      </c>
      <c r="C1199" s="342" t="str">
        <f t="shared" si="54"/>
        <v>clos couvert</v>
      </c>
      <c r="D1199" s="141" t="s">
        <v>231</v>
      </c>
      <c r="E1199" s="349">
        <v>48</v>
      </c>
      <c r="F1199" s="349"/>
      <c r="G1199" s="355"/>
    </row>
    <row r="1200" spans="1:7" x14ac:dyDescent="0.25">
      <c r="A1200" s="136" t="s">
        <v>180</v>
      </c>
      <c r="B1200" s="136" t="str">
        <f t="shared" si="53"/>
        <v>KILSTETT</v>
      </c>
      <c r="C1200" s="343" t="str">
        <f t="shared" si="54"/>
        <v>chape s42</v>
      </c>
      <c r="D1200" s="141" t="s">
        <v>231</v>
      </c>
      <c r="E1200" s="349">
        <v>6</v>
      </c>
      <c r="F1200" s="349"/>
      <c r="G1200" s="355"/>
    </row>
    <row r="1201" spans="1:7" x14ac:dyDescent="0.25">
      <c r="A1201" s="136" t="s">
        <v>214</v>
      </c>
      <c r="B1201" s="136" t="str">
        <f t="shared" si="53"/>
        <v>BUST</v>
      </c>
      <c r="C1201" s="137" t="str">
        <f t="shared" si="54"/>
        <v>couvert</v>
      </c>
      <c r="D1201" s="141"/>
      <c r="E1201" s="349"/>
      <c r="F1201" s="349"/>
      <c r="G1201" s="355"/>
    </row>
    <row r="1202" spans="1:7" x14ac:dyDescent="0.25">
      <c r="A1202" s="160" t="s">
        <v>202</v>
      </c>
      <c r="B1202" s="160" t="str">
        <f t="shared" si="53"/>
        <v>LUTZELHOUSE</v>
      </c>
      <c r="C1202" s="343" t="str">
        <f t="shared" si="54"/>
        <v>charpente</v>
      </c>
      <c r="D1202" s="141" t="s">
        <v>231</v>
      </c>
      <c r="E1202" s="349">
        <v>8</v>
      </c>
      <c r="F1202" s="348"/>
      <c r="G1202" s="356"/>
    </row>
    <row r="1203" spans="1:7" x14ac:dyDescent="0.25">
      <c r="A1203" s="160" t="s">
        <v>282</v>
      </c>
      <c r="B1203" s="160" t="str">
        <f t="shared" si="53"/>
        <v>BREUSCHWICKERSHEIM</v>
      </c>
      <c r="C1203" s="343" t="str">
        <f t="shared" si="54"/>
        <v>fondations</v>
      </c>
      <c r="D1203" s="141" t="s">
        <v>231</v>
      </c>
      <c r="E1203" s="349">
        <v>44</v>
      </c>
      <c r="F1203" s="348"/>
      <c r="G1203" s="356"/>
    </row>
    <row r="1204" spans="1:7" x14ac:dyDescent="0.25">
      <c r="A1204" s="160" t="s">
        <v>363</v>
      </c>
      <c r="B1204" s="160" t="str">
        <f t="shared" si="53"/>
        <v>GAMBSHEIM</v>
      </c>
      <c r="C1204" s="343" t="str">
        <f t="shared" si="54"/>
        <v>marchés en cours</v>
      </c>
      <c r="D1204" s="141"/>
      <c r="E1204" s="349"/>
      <c r="F1204" s="348"/>
      <c r="G1204" s="356"/>
    </row>
    <row r="1205" spans="1:7" x14ac:dyDescent="0.25">
      <c r="A1205" s="160" t="s">
        <v>364</v>
      </c>
      <c r="B1205" s="160" t="str">
        <f t="shared" si="53"/>
        <v>OBERLAUTERBACH</v>
      </c>
      <c r="C1205" s="343" t="str">
        <f t="shared" si="54"/>
        <v>marchés S43</v>
      </c>
      <c r="D1205" s="141" t="s">
        <v>231</v>
      </c>
      <c r="E1205" s="349">
        <v>2</v>
      </c>
      <c r="F1205" s="348"/>
      <c r="G1205" s="356"/>
    </row>
    <row r="1206" spans="1:7" x14ac:dyDescent="0.25">
      <c r="A1206" s="160" t="s">
        <v>181</v>
      </c>
      <c r="B1206" s="161" t="str">
        <f t="shared" si="53"/>
        <v>OBERMODERN-ZUTZENDORF</v>
      </c>
      <c r="C1206" s="343" t="str">
        <f>C1161</f>
        <v>chape s41</v>
      </c>
      <c r="D1206" s="137"/>
      <c r="E1206" s="348"/>
      <c r="F1206" s="348"/>
      <c r="G1206" s="356"/>
    </row>
    <row r="1207" spans="1:7" x14ac:dyDescent="0.25">
      <c r="A1207" s="160" t="s">
        <v>164</v>
      </c>
      <c r="B1207" s="161" t="str">
        <f t="shared" si="53"/>
        <v>WILDERSBACH</v>
      </c>
      <c r="C1207" s="343" t="str">
        <f>C1162</f>
        <v>à receptionner</v>
      </c>
      <c r="D1207" s="343"/>
      <c r="E1207" s="348"/>
      <c r="F1207" s="348"/>
      <c r="G1207" s="356"/>
    </row>
    <row r="1208" spans="1:7" x14ac:dyDescent="0.25">
      <c r="A1208" s="160" t="s">
        <v>248</v>
      </c>
      <c r="B1208" s="161" t="str">
        <f t="shared" si="53"/>
        <v>AVENHEIM</v>
      </c>
      <c r="C1208" s="343" t="str">
        <f>C1163</f>
        <v>dalle basse RDC</v>
      </c>
      <c r="D1208" s="343"/>
      <c r="E1208" s="348"/>
      <c r="F1208" s="348"/>
      <c r="G1208" s="356"/>
    </row>
    <row r="1209" spans="1:7" x14ac:dyDescent="0.25">
      <c r="A1209" s="160"/>
      <c r="B1209" s="343"/>
      <c r="C1209" s="343"/>
      <c r="D1209" s="148"/>
      <c r="E1209" s="348"/>
      <c r="F1209" s="348"/>
    </row>
    <row r="1213" spans="1:7" x14ac:dyDescent="0.25">
      <c r="A1213" s="407" t="s">
        <v>373</v>
      </c>
      <c r="B1213" s="407"/>
      <c r="C1213" s="407"/>
      <c r="D1213" s="407"/>
      <c r="E1213" s="407"/>
      <c r="F1213" s="407"/>
      <c r="G1213" s="407"/>
    </row>
    <row r="1214" spans="1:7" ht="15.75" thickBot="1" x14ac:dyDescent="0.3">
      <c r="A1214" s="407" t="s">
        <v>374</v>
      </c>
      <c r="B1214" s="407"/>
      <c r="C1214" s="407"/>
      <c r="D1214" s="407"/>
      <c r="E1214" s="407"/>
      <c r="F1214" s="407"/>
      <c r="G1214" s="407"/>
    </row>
    <row r="1215" spans="1:7" ht="15" customHeight="1" x14ac:dyDescent="0.25">
      <c r="C1215" s="401" t="s">
        <v>80</v>
      </c>
      <c r="D1215" s="402"/>
    </row>
    <row r="1216" spans="1:7" ht="6.75" customHeight="1" x14ac:dyDescent="0.25">
      <c r="C1216" s="403"/>
      <c r="D1216" s="404"/>
    </row>
    <row r="1217" spans="1:8" ht="27" customHeight="1" thickBot="1" x14ac:dyDescent="0.3">
      <c r="C1217" s="405"/>
      <c r="D1217" s="406"/>
    </row>
    <row r="1218" spans="1:8" ht="27" customHeight="1" thickBot="1" x14ac:dyDescent="0.3">
      <c r="C1218" s="121" t="s">
        <v>1</v>
      </c>
      <c r="D1218" s="113">
        <f ca="1">D1038</f>
        <v>41</v>
      </c>
    </row>
    <row r="1219" spans="1:8" ht="15" customHeight="1" x14ac:dyDescent="0.25">
      <c r="C1219" s="121"/>
      <c r="H1219" s="119"/>
    </row>
    <row r="1220" spans="1:8" ht="10.5" customHeight="1" x14ac:dyDescent="0.25">
      <c r="C1220" s="109"/>
      <c r="D1220" s="109"/>
      <c r="E1220" s="348"/>
      <c r="F1220" s="348"/>
    </row>
    <row r="1221" spans="1:8" ht="21.75" customHeight="1" x14ac:dyDescent="0.4">
      <c r="B1221" s="114" t="s">
        <v>77</v>
      </c>
      <c r="C1221" s="114" t="s">
        <v>38</v>
      </c>
      <c r="D1221" s="342" t="s">
        <v>98</v>
      </c>
      <c r="E1221" s="141"/>
      <c r="F1221" s="348"/>
    </row>
    <row r="1222" spans="1:8" ht="16.5" customHeight="1" x14ac:dyDescent="0.3">
      <c r="C1222" s="110"/>
      <c r="D1222" s="109"/>
      <c r="E1222" s="348"/>
      <c r="F1222" s="348"/>
    </row>
    <row r="1223" spans="1:8" s="138" customFormat="1" ht="16.5" customHeight="1" x14ac:dyDescent="0.25">
      <c r="A1223" s="369" t="s">
        <v>78</v>
      </c>
      <c r="B1223" s="369" t="s">
        <v>294</v>
      </c>
      <c r="C1223" s="141" t="s">
        <v>79</v>
      </c>
      <c r="D1223" s="112" t="s">
        <v>375</v>
      </c>
      <c r="E1223" s="348" t="s">
        <v>352</v>
      </c>
      <c r="F1223" s="348" t="s">
        <v>369</v>
      </c>
      <c r="G1223" s="141" t="s">
        <v>126</v>
      </c>
    </row>
    <row r="1224" spans="1:8" ht="16.5" customHeight="1" x14ac:dyDescent="0.25">
      <c r="A1224" s="111" t="s">
        <v>213</v>
      </c>
      <c r="B1224" s="111" t="str">
        <f t="shared" ref="B1224:B1253" si="55">B10</f>
        <v>PFETTISHEIM</v>
      </c>
      <c r="C1224" s="342" t="str">
        <f t="shared" ref="C1224:C1250" si="56">C1179</f>
        <v>pignons</v>
      </c>
      <c r="D1224" s="140"/>
      <c r="E1224" s="349"/>
      <c r="F1224" s="348"/>
      <c r="G1224" s="354"/>
    </row>
    <row r="1225" spans="1:8" x14ac:dyDescent="0.25">
      <c r="A1225" s="116" t="s">
        <v>278</v>
      </c>
      <c r="B1225" s="116" t="str">
        <f t="shared" si="55"/>
        <v>BLIENSCHWILLER</v>
      </c>
      <c r="C1225" s="342" t="str">
        <f t="shared" si="56"/>
        <v>fondations</v>
      </c>
      <c r="D1225" s="117"/>
      <c r="E1225" s="349"/>
      <c r="F1225" s="349"/>
      <c r="G1225" s="355"/>
    </row>
    <row r="1226" spans="1:8" x14ac:dyDescent="0.25">
      <c r="A1226" s="116" t="s">
        <v>259</v>
      </c>
      <c r="B1226" s="116" t="str">
        <f t="shared" si="55"/>
        <v>BERSTHEIM</v>
      </c>
      <c r="C1226" s="342" t="str">
        <f t="shared" si="56"/>
        <v>dalle basse RDC</v>
      </c>
      <c r="D1226" s="117"/>
      <c r="E1226" s="349"/>
      <c r="F1226" s="349"/>
      <c r="G1226" s="355"/>
    </row>
    <row r="1227" spans="1:8" x14ac:dyDescent="0.25">
      <c r="A1227" s="116" t="s">
        <v>279</v>
      </c>
      <c r="B1227" s="116" t="str">
        <f t="shared" si="55"/>
        <v>FRIEDOLSHEIM</v>
      </c>
      <c r="C1227" s="342" t="str">
        <f t="shared" si="56"/>
        <v>dalle basse RDC</v>
      </c>
      <c r="D1227" s="117"/>
      <c r="E1227" s="349"/>
      <c r="F1227" s="349"/>
      <c r="G1227" s="355"/>
    </row>
    <row r="1228" spans="1:8" x14ac:dyDescent="0.25">
      <c r="A1228" s="116" t="s">
        <v>179</v>
      </c>
      <c r="B1228" s="116" t="str">
        <f t="shared" si="55"/>
        <v>GERTSHEIM</v>
      </c>
      <c r="C1228" s="342" t="str">
        <f t="shared" si="56"/>
        <v>à receptionner</v>
      </c>
      <c r="D1228" s="117"/>
      <c r="E1228" s="349"/>
      <c r="F1228" s="349"/>
      <c r="G1228" s="355"/>
    </row>
    <row r="1229" spans="1:8" x14ac:dyDescent="0.25">
      <c r="A1229" s="116" t="s">
        <v>197</v>
      </c>
      <c r="B1229" s="116" t="str">
        <f t="shared" si="55"/>
        <v>STRASBOURG</v>
      </c>
      <c r="C1229" s="342" t="str">
        <f t="shared" si="56"/>
        <v>chape s42</v>
      </c>
      <c r="D1229" s="117"/>
      <c r="E1229" s="349"/>
      <c r="F1229" s="349"/>
      <c r="G1229" s="355"/>
    </row>
    <row r="1230" spans="1:8" x14ac:dyDescent="0.25">
      <c r="A1230" s="116" t="s">
        <v>280</v>
      </c>
      <c r="B1230" s="116" t="str">
        <f t="shared" si="55"/>
        <v>HENGWILLER</v>
      </c>
      <c r="C1230" s="342" t="str">
        <f t="shared" si="56"/>
        <v>soubassement</v>
      </c>
      <c r="D1230" s="117"/>
      <c r="E1230" s="349"/>
      <c r="F1230" s="349"/>
      <c r="G1230" s="355"/>
    </row>
    <row r="1231" spans="1:8" x14ac:dyDescent="0.25">
      <c r="A1231" s="116" t="s">
        <v>198</v>
      </c>
      <c r="B1231" s="116" t="str">
        <f t="shared" si="55"/>
        <v>HANGENBIENTEN</v>
      </c>
      <c r="C1231" s="342" t="str">
        <f t="shared" si="56"/>
        <v>dalle basse RDC</v>
      </c>
      <c r="D1231" s="117"/>
      <c r="E1231" s="349"/>
      <c r="F1231" s="349"/>
      <c r="G1231" s="355"/>
    </row>
    <row r="1232" spans="1:8" x14ac:dyDescent="0.25">
      <c r="A1232" s="116" t="s">
        <v>281</v>
      </c>
      <c r="B1232" s="116" t="str">
        <f t="shared" si="55"/>
        <v>OBERHOFFEN</v>
      </c>
      <c r="C1232" s="342" t="str">
        <f t="shared" si="56"/>
        <v>dalle basse RDC</v>
      </c>
      <c r="D1232" s="117"/>
      <c r="E1232" s="349"/>
      <c r="F1232" s="349"/>
      <c r="G1232" s="355"/>
    </row>
    <row r="1233" spans="1:7" x14ac:dyDescent="0.25">
      <c r="A1233" s="116" t="s">
        <v>199</v>
      </c>
      <c r="B1233" s="116" t="str">
        <f t="shared" si="55"/>
        <v>EBERSHEIM</v>
      </c>
      <c r="C1233" s="342" t="str">
        <f t="shared" si="56"/>
        <v>couvert</v>
      </c>
      <c r="D1233" s="117"/>
      <c r="E1233" s="349"/>
      <c r="F1233" s="349"/>
      <c r="G1233" s="355"/>
    </row>
    <row r="1234" spans="1:7" x14ac:dyDescent="0.25">
      <c r="A1234" s="116" t="s">
        <v>256</v>
      </c>
      <c r="B1234" s="116" t="str">
        <f t="shared" si="55"/>
        <v>DINSHEIM S/ BRUCHE</v>
      </c>
      <c r="C1234" s="342" t="str">
        <f t="shared" si="56"/>
        <v>GO fini</v>
      </c>
      <c r="D1234" s="117"/>
      <c r="E1234" s="349"/>
      <c r="F1234" s="349"/>
      <c r="G1234" s="355"/>
    </row>
    <row r="1235" spans="1:7" x14ac:dyDescent="0.25">
      <c r="A1235" s="116" t="s">
        <v>357</v>
      </c>
      <c r="B1235" s="116" t="str">
        <f t="shared" si="55"/>
        <v>MOLSHEIM</v>
      </c>
      <c r="C1235" s="342" t="str">
        <f t="shared" si="56"/>
        <v>marchés en cours</v>
      </c>
      <c r="D1235" s="117"/>
      <c r="E1235" s="349"/>
      <c r="F1235" s="349"/>
      <c r="G1235" s="355"/>
    </row>
    <row r="1236" spans="1:7" x14ac:dyDescent="0.25">
      <c r="A1236" s="116" t="s">
        <v>200</v>
      </c>
      <c r="B1236" s="116" t="str">
        <f t="shared" si="55"/>
        <v>KLEINFRANKENHEIM</v>
      </c>
      <c r="C1236" s="342" t="str">
        <f t="shared" si="56"/>
        <v>second œuvre en cours charge client</v>
      </c>
      <c r="D1236" s="117"/>
      <c r="E1236" s="349"/>
      <c r="F1236" s="349"/>
      <c r="G1236" s="355"/>
    </row>
    <row r="1237" spans="1:7" x14ac:dyDescent="0.25">
      <c r="A1237" s="116" t="s">
        <v>161</v>
      </c>
      <c r="B1237" s="116" t="str">
        <f t="shared" si="55"/>
        <v>HANGENBIENTEN</v>
      </c>
      <c r="C1237" s="342" t="str">
        <f t="shared" si="56"/>
        <v>chape</v>
      </c>
      <c r="D1237" s="117"/>
      <c r="E1237" s="349"/>
      <c r="F1237" s="349"/>
      <c r="G1237" s="355"/>
    </row>
    <row r="1238" spans="1:7" x14ac:dyDescent="0.25">
      <c r="A1238" s="116" t="s">
        <v>185</v>
      </c>
      <c r="B1238" s="116" t="str">
        <f t="shared" si="55"/>
        <v>PETERSBACH</v>
      </c>
      <c r="C1238" s="342" t="str">
        <f t="shared" si="56"/>
        <v>couvert</v>
      </c>
      <c r="D1238" s="117"/>
      <c r="E1238" s="349"/>
      <c r="F1238" s="349"/>
      <c r="G1238" s="355"/>
    </row>
    <row r="1239" spans="1:7" x14ac:dyDescent="0.25">
      <c r="A1239" s="116" t="s">
        <v>162</v>
      </c>
      <c r="B1239" s="116" t="str">
        <f t="shared" si="55"/>
        <v>ENTZHEIM</v>
      </c>
      <c r="C1239" s="342" t="str">
        <f t="shared" si="56"/>
        <v>chape</v>
      </c>
      <c r="D1239" s="117"/>
      <c r="E1239" s="349"/>
      <c r="F1239" s="349"/>
      <c r="G1239" s="355"/>
    </row>
    <row r="1240" spans="1:7" x14ac:dyDescent="0.25">
      <c r="A1240" s="116" t="s">
        <v>152</v>
      </c>
      <c r="B1240" s="116" t="str">
        <f t="shared" si="55"/>
        <v>KILSTETT</v>
      </c>
      <c r="C1240" s="342" t="str">
        <f t="shared" si="56"/>
        <v>chantier en arrêt</v>
      </c>
      <c r="D1240" s="117"/>
      <c r="E1240" s="349"/>
      <c r="F1240" s="349"/>
      <c r="G1240" s="355"/>
    </row>
    <row r="1241" spans="1:7" x14ac:dyDescent="0.25">
      <c r="A1241" s="116" t="s">
        <v>218</v>
      </c>
      <c r="B1241" s="116" t="str">
        <f t="shared" si="55"/>
        <v>ESCHBACH</v>
      </c>
      <c r="C1241" s="342" t="str">
        <f t="shared" si="56"/>
        <v>couvert</v>
      </c>
      <c r="D1241" s="117"/>
      <c r="E1241" s="349"/>
      <c r="F1241" s="349"/>
      <c r="G1241" s="355"/>
    </row>
    <row r="1242" spans="1:7" x14ac:dyDescent="0.25">
      <c r="A1242" s="116" t="s">
        <v>163</v>
      </c>
      <c r="B1242" s="116" t="str">
        <f t="shared" si="55"/>
        <v>BISCHWILLER</v>
      </c>
      <c r="C1242" s="342" t="str">
        <f t="shared" si="56"/>
        <v>chape s42</v>
      </c>
      <c r="D1242" s="117"/>
      <c r="E1242" s="349"/>
      <c r="F1242" s="349"/>
      <c r="G1242" s="355"/>
    </row>
    <row r="1243" spans="1:7" x14ac:dyDescent="0.25">
      <c r="A1243" s="116" t="s">
        <v>153</v>
      </c>
      <c r="B1243" s="116" t="str">
        <f t="shared" si="55"/>
        <v>PFETTISHEIM</v>
      </c>
      <c r="C1243" s="342" t="str">
        <f t="shared" si="56"/>
        <v>à receptionner</v>
      </c>
      <c r="D1243" s="117"/>
      <c r="E1243" s="349"/>
      <c r="F1243" s="349"/>
      <c r="G1243" s="355"/>
    </row>
    <row r="1244" spans="1:7" x14ac:dyDescent="0.25">
      <c r="A1244" s="136" t="s">
        <v>201</v>
      </c>
      <c r="B1244" s="136" t="str">
        <f t="shared" si="55"/>
        <v>KINDWILLER</v>
      </c>
      <c r="C1244" s="343" t="str">
        <f t="shared" si="56"/>
        <v>clos couvert</v>
      </c>
      <c r="D1244" s="137"/>
      <c r="E1244" s="349"/>
      <c r="F1244" s="349"/>
      <c r="G1244" s="355"/>
    </row>
    <row r="1245" spans="1:7" x14ac:dyDescent="0.25">
      <c r="A1245" s="136" t="s">
        <v>180</v>
      </c>
      <c r="B1245" s="136" t="str">
        <f t="shared" si="55"/>
        <v>KILSTETT</v>
      </c>
      <c r="C1245" s="343" t="str">
        <f t="shared" si="56"/>
        <v>chape s42</v>
      </c>
      <c r="D1245" s="137"/>
      <c r="E1245" s="349"/>
      <c r="F1245" s="349"/>
      <c r="G1245" s="355"/>
    </row>
    <row r="1246" spans="1:7" x14ac:dyDescent="0.25">
      <c r="A1246" s="136" t="s">
        <v>214</v>
      </c>
      <c r="B1246" s="136" t="str">
        <f t="shared" si="55"/>
        <v>BUST</v>
      </c>
      <c r="C1246" s="137" t="str">
        <f t="shared" si="56"/>
        <v>couvert</v>
      </c>
      <c r="D1246" s="137"/>
      <c r="E1246" s="349"/>
      <c r="F1246" s="349"/>
      <c r="G1246" s="355"/>
    </row>
    <row r="1247" spans="1:7" x14ac:dyDescent="0.25">
      <c r="A1247" s="160" t="s">
        <v>202</v>
      </c>
      <c r="B1247" s="160" t="str">
        <f t="shared" si="55"/>
        <v>LUTZELHOUSE</v>
      </c>
      <c r="C1247" s="343" t="str">
        <f t="shared" si="56"/>
        <v>charpente</v>
      </c>
      <c r="D1247" s="343"/>
      <c r="E1247" s="349"/>
      <c r="F1247" s="348"/>
      <c r="G1247" s="356"/>
    </row>
    <row r="1248" spans="1:7" x14ac:dyDescent="0.25">
      <c r="A1248" s="160" t="s">
        <v>282</v>
      </c>
      <c r="B1248" s="160" t="str">
        <f t="shared" si="55"/>
        <v>BREUSCHWICKERSHEIM</v>
      </c>
      <c r="C1248" s="343" t="str">
        <f t="shared" si="56"/>
        <v>fondations</v>
      </c>
      <c r="D1248" s="343"/>
      <c r="E1248" s="349"/>
      <c r="F1248" s="348"/>
      <c r="G1248" s="356"/>
    </row>
    <row r="1249" spans="1:8" x14ac:dyDescent="0.25">
      <c r="A1249" s="160" t="s">
        <v>363</v>
      </c>
      <c r="B1249" s="160" t="str">
        <f t="shared" si="55"/>
        <v>GAMBSHEIM</v>
      </c>
      <c r="C1249" s="343" t="str">
        <f t="shared" si="56"/>
        <v>marchés en cours</v>
      </c>
      <c r="D1249" s="343"/>
      <c r="E1249" s="349"/>
      <c r="F1249" s="348"/>
      <c r="G1249" s="356"/>
    </row>
    <row r="1250" spans="1:8" x14ac:dyDescent="0.25">
      <c r="A1250" s="160" t="s">
        <v>364</v>
      </c>
      <c r="B1250" s="160" t="str">
        <f t="shared" si="55"/>
        <v>OBERLAUTERBACH</v>
      </c>
      <c r="C1250" s="343" t="str">
        <f t="shared" si="56"/>
        <v>marchés S43</v>
      </c>
      <c r="D1250" s="343"/>
      <c r="E1250" s="349"/>
      <c r="F1250" s="348"/>
      <c r="G1250" s="356"/>
    </row>
    <row r="1251" spans="1:8" x14ac:dyDescent="0.25">
      <c r="A1251" s="160" t="s">
        <v>181</v>
      </c>
      <c r="B1251" s="161" t="str">
        <f t="shared" si="55"/>
        <v>OBERMODERN-ZUTZENDORF</v>
      </c>
      <c r="C1251" s="343" t="str">
        <f>C1206</f>
        <v>chape s41</v>
      </c>
      <c r="D1251" s="137"/>
      <c r="E1251" s="348"/>
      <c r="F1251" s="348"/>
      <c r="G1251" s="356"/>
    </row>
    <row r="1252" spans="1:8" x14ac:dyDescent="0.25">
      <c r="A1252" s="160" t="s">
        <v>164</v>
      </c>
      <c r="B1252" s="161" t="str">
        <f t="shared" si="55"/>
        <v>WILDERSBACH</v>
      </c>
      <c r="C1252" s="343" t="str">
        <f>C1207</f>
        <v>à receptionner</v>
      </c>
      <c r="D1252" s="343"/>
      <c r="E1252" s="348"/>
      <c r="F1252" s="348"/>
      <c r="G1252" s="356"/>
    </row>
    <row r="1253" spans="1:8" x14ac:dyDescent="0.25">
      <c r="A1253" s="160" t="s">
        <v>248</v>
      </c>
      <c r="B1253" s="161" t="str">
        <f t="shared" si="55"/>
        <v>AVENHEIM</v>
      </c>
      <c r="C1253" s="343" t="str">
        <f>C1208</f>
        <v>dalle basse RDC</v>
      </c>
      <c r="D1253" s="343"/>
      <c r="E1253" s="348"/>
      <c r="F1253" s="348"/>
      <c r="G1253" s="356"/>
    </row>
    <row r="1254" spans="1:8" x14ac:dyDescent="0.25">
      <c r="A1254" s="160"/>
      <c r="B1254" s="343"/>
      <c r="C1254" s="343"/>
      <c r="D1254" s="148"/>
      <c r="E1254" s="348"/>
      <c r="F1254" s="348"/>
    </row>
    <row r="1258" spans="1:8" x14ac:dyDescent="0.25">
      <c r="A1258" s="407" t="s">
        <v>373</v>
      </c>
      <c r="B1258" s="407"/>
      <c r="C1258" s="407"/>
      <c r="D1258" s="407"/>
      <c r="E1258" s="407"/>
      <c r="F1258" s="407"/>
      <c r="G1258" s="407"/>
    </row>
    <row r="1259" spans="1:8" ht="15.75" thickBot="1" x14ac:dyDescent="0.3">
      <c r="A1259" s="407" t="s">
        <v>374</v>
      </c>
      <c r="B1259" s="407"/>
      <c r="C1259" s="407"/>
      <c r="D1259" s="407"/>
      <c r="E1259" s="407"/>
      <c r="F1259" s="407"/>
      <c r="G1259" s="407"/>
    </row>
    <row r="1260" spans="1:8" ht="15" customHeight="1" x14ac:dyDescent="0.25">
      <c r="C1260" s="401" t="s">
        <v>80</v>
      </c>
      <c r="D1260" s="402"/>
    </row>
    <row r="1261" spans="1:8" ht="6.75" customHeight="1" x14ac:dyDescent="0.25">
      <c r="C1261" s="403"/>
      <c r="D1261" s="404"/>
    </row>
    <row r="1262" spans="1:8" ht="27" customHeight="1" thickBot="1" x14ac:dyDescent="0.3">
      <c r="C1262" s="405"/>
      <c r="D1262" s="406"/>
    </row>
    <row r="1263" spans="1:8" ht="27" customHeight="1" thickBot="1" x14ac:dyDescent="0.3">
      <c r="C1263" s="121" t="s">
        <v>1</v>
      </c>
      <c r="D1263" s="113">
        <f ca="1">D1083</f>
        <v>41</v>
      </c>
    </row>
    <row r="1264" spans="1:8" ht="15" customHeight="1" x14ac:dyDescent="0.25">
      <c r="C1264" s="121"/>
      <c r="H1264" s="119"/>
    </row>
    <row r="1265" spans="1:7" ht="10.5" customHeight="1" x14ac:dyDescent="0.25">
      <c r="C1265" s="109"/>
      <c r="D1265" s="109"/>
      <c r="E1265" s="348"/>
      <c r="F1265" s="348"/>
    </row>
    <row r="1266" spans="1:7" ht="21.75" customHeight="1" x14ac:dyDescent="0.4">
      <c r="B1266" s="114" t="s">
        <v>77</v>
      </c>
      <c r="C1266" s="114" t="s">
        <v>206</v>
      </c>
      <c r="D1266" s="342" t="s">
        <v>207</v>
      </c>
      <c r="E1266" s="141"/>
      <c r="F1266" s="348"/>
    </row>
    <row r="1267" spans="1:7" ht="16.5" customHeight="1" x14ac:dyDescent="0.3">
      <c r="C1267" s="110"/>
      <c r="D1267" s="109"/>
      <c r="E1267" s="348"/>
      <c r="F1267" s="348"/>
    </row>
    <row r="1268" spans="1:7" s="138" customFormat="1" ht="16.5" customHeight="1" x14ac:dyDescent="0.25">
      <c r="A1268" s="369" t="s">
        <v>78</v>
      </c>
      <c r="B1268" s="369" t="s">
        <v>294</v>
      </c>
      <c r="C1268" s="141" t="s">
        <v>79</v>
      </c>
      <c r="D1268" s="112" t="s">
        <v>375</v>
      </c>
      <c r="E1268" s="348" t="s">
        <v>352</v>
      </c>
      <c r="F1268" s="348" t="s">
        <v>369</v>
      </c>
      <c r="G1268" s="141" t="s">
        <v>126</v>
      </c>
    </row>
    <row r="1269" spans="1:7" ht="16.5" customHeight="1" x14ac:dyDescent="0.25">
      <c r="A1269" s="111" t="s">
        <v>213</v>
      </c>
      <c r="B1269" s="111" t="str">
        <f t="shared" ref="B1269:B1298" si="57">B10</f>
        <v>PFETTISHEIM</v>
      </c>
      <c r="C1269" s="342" t="str">
        <f>C1224</f>
        <v>pignons</v>
      </c>
      <c r="D1269" s="141" t="s">
        <v>221</v>
      </c>
      <c r="E1269" s="348">
        <v>49</v>
      </c>
      <c r="F1269" s="348"/>
      <c r="G1269" s="354" t="s">
        <v>350</v>
      </c>
    </row>
    <row r="1270" spans="1:7" ht="15" customHeight="1" x14ac:dyDescent="0.25">
      <c r="A1270" s="116" t="s">
        <v>278</v>
      </c>
      <c r="B1270" s="116" t="str">
        <f t="shared" si="57"/>
        <v>BLIENSCHWILLER</v>
      </c>
      <c r="C1270" s="342" t="str">
        <f t="shared" ref="C1270:C1289" si="58">C1225</f>
        <v>fondations</v>
      </c>
      <c r="D1270" s="141"/>
      <c r="E1270" s="348"/>
      <c r="F1270" s="349"/>
      <c r="G1270" s="355"/>
    </row>
    <row r="1271" spans="1:7" ht="15" customHeight="1" x14ac:dyDescent="0.25">
      <c r="A1271" s="116" t="s">
        <v>259</v>
      </c>
      <c r="B1271" s="116" t="str">
        <f t="shared" si="57"/>
        <v>BERSTHEIM</v>
      </c>
      <c r="C1271" s="342" t="str">
        <f t="shared" si="58"/>
        <v>dalle basse RDC</v>
      </c>
      <c r="D1271" s="141" t="s">
        <v>221</v>
      </c>
      <c r="E1271" s="348">
        <v>1</v>
      </c>
      <c r="F1271" s="349"/>
      <c r="G1271" s="355"/>
    </row>
    <row r="1272" spans="1:7" ht="15" customHeight="1" x14ac:dyDescent="0.25">
      <c r="A1272" s="116" t="s">
        <v>279</v>
      </c>
      <c r="B1272" s="116" t="str">
        <f t="shared" si="57"/>
        <v>FRIEDOLSHEIM</v>
      </c>
      <c r="C1272" s="342" t="str">
        <f t="shared" si="58"/>
        <v>dalle basse RDC</v>
      </c>
      <c r="D1272" s="141"/>
      <c r="E1272" s="348"/>
      <c r="F1272" s="349"/>
      <c r="G1272" s="355"/>
    </row>
    <row r="1273" spans="1:7" ht="15" customHeight="1" x14ac:dyDescent="0.25">
      <c r="A1273" s="116" t="s">
        <v>179</v>
      </c>
      <c r="B1273" s="116" t="str">
        <f t="shared" si="57"/>
        <v>GERTSHEIM</v>
      </c>
      <c r="C1273" s="342" t="str">
        <f t="shared" si="58"/>
        <v>à receptionner</v>
      </c>
      <c r="D1273" s="141"/>
      <c r="E1273" s="348"/>
      <c r="F1273" s="349"/>
      <c r="G1273" s="355"/>
    </row>
    <row r="1274" spans="1:7" ht="15" customHeight="1" x14ac:dyDescent="0.25">
      <c r="A1274" s="116" t="s">
        <v>197</v>
      </c>
      <c r="B1274" s="116" t="str">
        <f t="shared" si="57"/>
        <v>STRASBOURG</v>
      </c>
      <c r="C1274" s="342" t="str">
        <f t="shared" si="58"/>
        <v>chape s42</v>
      </c>
      <c r="D1274" s="141"/>
      <c r="E1274" s="348"/>
      <c r="F1274" s="349"/>
      <c r="G1274" s="355"/>
    </row>
    <row r="1275" spans="1:7" ht="15" customHeight="1" x14ac:dyDescent="0.25">
      <c r="A1275" s="116" t="s">
        <v>280</v>
      </c>
      <c r="B1275" s="116" t="str">
        <f t="shared" si="57"/>
        <v>HENGWILLER</v>
      </c>
      <c r="C1275" s="342" t="str">
        <f t="shared" si="58"/>
        <v>soubassement</v>
      </c>
      <c r="D1275" s="141"/>
      <c r="E1275" s="348"/>
      <c r="F1275" s="349"/>
      <c r="G1275" s="355"/>
    </row>
    <row r="1276" spans="1:7" ht="15" customHeight="1" x14ac:dyDescent="0.25">
      <c r="A1276" s="116" t="s">
        <v>198</v>
      </c>
      <c r="B1276" s="116" t="str">
        <f t="shared" si="57"/>
        <v>HANGENBIENTEN</v>
      </c>
      <c r="C1276" s="342" t="str">
        <f t="shared" si="58"/>
        <v>dalle basse RDC</v>
      </c>
      <c r="D1276" s="141"/>
      <c r="E1276" s="348"/>
      <c r="F1276" s="349"/>
      <c r="G1276" s="355"/>
    </row>
    <row r="1277" spans="1:7" ht="15" customHeight="1" x14ac:dyDescent="0.25">
      <c r="A1277" s="116" t="s">
        <v>281</v>
      </c>
      <c r="B1277" s="116" t="str">
        <f t="shared" si="57"/>
        <v>OBERHOFFEN</v>
      </c>
      <c r="C1277" s="342" t="str">
        <f t="shared" si="58"/>
        <v>dalle basse RDC</v>
      </c>
      <c r="D1277" s="141"/>
      <c r="E1277" s="348"/>
      <c r="F1277" s="349"/>
      <c r="G1277" s="355"/>
    </row>
    <row r="1278" spans="1:7" x14ac:dyDescent="0.25">
      <c r="A1278" s="116" t="s">
        <v>199</v>
      </c>
      <c r="B1278" s="116" t="str">
        <f t="shared" si="57"/>
        <v>EBERSHEIM</v>
      </c>
      <c r="C1278" s="342" t="str">
        <f t="shared" si="58"/>
        <v>couvert</v>
      </c>
      <c r="D1278" s="141" t="s">
        <v>221</v>
      </c>
      <c r="E1278" s="348">
        <v>48</v>
      </c>
      <c r="F1278" s="349"/>
      <c r="G1278" s="355" t="s">
        <v>350</v>
      </c>
    </row>
    <row r="1279" spans="1:7" x14ac:dyDescent="0.25">
      <c r="A1279" s="116" t="s">
        <v>256</v>
      </c>
      <c r="B1279" s="116" t="str">
        <f t="shared" si="57"/>
        <v>DINSHEIM S/ BRUCHE</v>
      </c>
      <c r="C1279" s="342" t="str">
        <f t="shared" si="58"/>
        <v>GO fini</v>
      </c>
      <c r="D1279" s="141" t="s">
        <v>221</v>
      </c>
      <c r="E1279" s="348">
        <v>50</v>
      </c>
      <c r="F1279" s="349"/>
      <c r="G1279" s="355"/>
    </row>
    <row r="1280" spans="1:7" x14ac:dyDescent="0.25">
      <c r="A1280" s="116" t="s">
        <v>357</v>
      </c>
      <c r="B1280" s="116" t="str">
        <f t="shared" si="57"/>
        <v>MOLSHEIM</v>
      </c>
      <c r="C1280" s="342" t="str">
        <f t="shared" si="58"/>
        <v>marchés en cours</v>
      </c>
      <c r="D1280" s="141"/>
      <c r="E1280" s="348"/>
      <c r="F1280" s="349"/>
      <c r="G1280" s="355"/>
    </row>
    <row r="1281" spans="1:7" x14ac:dyDescent="0.25">
      <c r="A1281" s="116" t="s">
        <v>200</v>
      </c>
      <c r="B1281" s="116" t="str">
        <f t="shared" si="57"/>
        <v>KLEINFRANKENHEIM</v>
      </c>
      <c r="C1281" s="342" t="str">
        <f t="shared" si="58"/>
        <v>second œuvre en cours charge client</v>
      </c>
      <c r="D1281" s="141"/>
      <c r="E1281" s="348">
        <v>40</v>
      </c>
      <c r="F1281" s="349"/>
      <c r="G1281" s="355"/>
    </row>
    <row r="1282" spans="1:7" x14ac:dyDescent="0.25">
      <c r="A1282" s="116" t="s">
        <v>161</v>
      </c>
      <c r="B1282" s="116" t="str">
        <f t="shared" si="57"/>
        <v>HANGENBIENTEN</v>
      </c>
      <c r="C1282" s="342" t="str">
        <f t="shared" si="58"/>
        <v>chape</v>
      </c>
      <c r="D1282" s="141" t="s">
        <v>221</v>
      </c>
      <c r="E1282" s="348">
        <v>47</v>
      </c>
      <c r="F1282" s="349"/>
      <c r="G1282" s="355" t="s">
        <v>350</v>
      </c>
    </row>
    <row r="1283" spans="1:7" x14ac:dyDescent="0.25">
      <c r="A1283" s="116" t="s">
        <v>185</v>
      </c>
      <c r="B1283" s="116" t="str">
        <f t="shared" si="57"/>
        <v>PETERSBACH</v>
      </c>
      <c r="C1283" s="342" t="str">
        <f t="shared" si="58"/>
        <v>couvert</v>
      </c>
      <c r="D1283" s="141"/>
      <c r="E1283" s="348"/>
      <c r="F1283" s="349"/>
      <c r="G1283" s="355"/>
    </row>
    <row r="1284" spans="1:7" x14ac:dyDescent="0.25">
      <c r="A1284" s="116" t="s">
        <v>162</v>
      </c>
      <c r="B1284" s="116" t="str">
        <f t="shared" si="57"/>
        <v>ENTZHEIM</v>
      </c>
      <c r="C1284" s="342" t="str">
        <f t="shared" si="58"/>
        <v>chape</v>
      </c>
      <c r="D1284" s="141"/>
      <c r="E1284" s="348"/>
      <c r="F1284" s="349"/>
      <c r="G1284" s="355" t="s">
        <v>215</v>
      </c>
    </row>
    <row r="1285" spans="1:7" x14ac:dyDescent="0.25">
      <c r="A1285" s="116" t="s">
        <v>152</v>
      </c>
      <c r="B1285" s="116" t="str">
        <f t="shared" si="57"/>
        <v>KILSTETT</v>
      </c>
      <c r="C1285" s="342" t="str">
        <f t="shared" si="58"/>
        <v>chantier en arrêt</v>
      </c>
      <c r="D1285" s="141"/>
      <c r="E1285" s="348"/>
      <c r="F1285" s="349"/>
      <c r="G1285" s="355"/>
    </row>
    <row r="1286" spans="1:7" x14ac:dyDescent="0.25">
      <c r="A1286" s="116" t="s">
        <v>218</v>
      </c>
      <c r="B1286" s="116" t="str">
        <f t="shared" si="57"/>
        <v>ESCHBACH</v>
      </c>
      <c r="C1286" s="342" t="str">
        <f t="shared" si="58"/>
        <v>couvert</v>
      </c>
      <c r="D1286" s="141"/>
      <c r="E1286" s="348"/>
      <c r="F1286" s="349"/>
      <c r="G1286" s="355"/>
    </row>
    <row r="1287" spans="1:7" x14ac:dyDescent="0.25">
      <c r="A1287" s="116" t="s">
        <v>163</v>
      </c>
      <c r="B1287" s="116" t="str">
        <f t="shared" si="57"/>
        <v>BISCHWILLER</v>
      </c>
      <c r="C1287" s="342" t="str">
        <f t="shared" si="58"/>
        <v>chape s42</v>
      </c>
      <c r="D1287" s="141"/>
      <c r="E1287" s="348"/>
      <c r="F1287" s="349"/>
      <c r="G1287" s="355"/>
    </row>
    <row r="1288" spans="1:7" x14ac:dyDescent="0.25">
      <c r="A1288" s="136" t="s">
        <v>153</v>
      </c>
      <c r="B1288" s="136" t="str">
        <f t="shared" si="57"/>
        <v>PFETTISHEIM</v>
      </c>
      <c r="C1288" s="342" t="str">
        <f t="shared" si="58"/>
        <v>à receptionner</v>
      </c>
      <c r="D1288" s="141" t="s">
        <v>221</v>
      </c>
      <c r="E1288" s="348">
        <v>46</v>
      </c>
      <c r="F1288" s="349"/>
      <c r="G1288" s="355" t="s">
        <v>350</v>
      </c>
    </row>
    <row r="1289" spans="1:7" x14ac:dyDescent="0.25">
      <c r="A1289" s="136" t="s">
        <v>201</v>
      </c>
      <c r="B1289" s="136" t="str">
        <f t="shared" si="57"/>
        <v>KINDWILLER</v>
      </c>
      <c r="C1289" s="342" t="str">
        <f t="shared" si="58"/>
        <v>clos couvert</v>
      </c>
      <c r="D1289" s="141" t="s">
        <v>221</v>
      </c>
      <c r="E1289" s="348">
        <v>42</v>
      </c>
      <c r="F1289" s="348"/>
      <c r="G1289" s="356" t="s">
        <v>351</v>
      </c>
    </row>
    <row r="1290" spans="1:7" x14ac:dyDescent="0.25">
      <c r="A1290" s="136" t="s">
        <v>180</v>
      </c>
      <c r="B1290" s="136" t="str">
        <f t="shared" si="57"/>
        <v>KILSTETT</v>
      </c>
      <c r="C1290" s="343" t="str">
        <f t="shared" ref="C1290:C1292" si="59">C1245</f>
        <v>chape s42</v>
      </c>
      <c r="D1290" s="141"/>
      <c r="E1290" s="348"/>
      <c r="F1290" s="349"/>
      <c r="G1290" s="355"/>
    </row>
    <row r="1291" spans="1:7" x14ac:dyDescent="0.25">
      <c r="A1291" s="160" t="s">
        <v>214</v>
      </c>
      <c r="B1291" s="160" t="str">
        <f t="shared" si="57"/>
        <v>BUST</v>
      </c>
      <c r="C1291" s="343" t="str">
        <f t="shared" si="59"/>
        <v>couvert</v>
      </c>
      <c r="D1291" s="141" t="s">
        <v>221</v>
      </c>
      <c r="E1291" s="348">
        <v>50</v>
      </c>
      <c r="F1291" s="348"/>
      <c r="G1291" s="356"/>
    </row>
    <row r="1292" spans="1:7" x14ac:dyDescent="0.25">
      <c r="A1292" s="160" t="s">
        <v>202</v>
      </c>
      <c r="B1292" s="160" t="str">
        <f t="shared" si="57"/>
        <v>LUTZELHOUSE</v>
      </c>
      <c r="C1292" s="343" t="str">
        <f t="shared" si="59"/>
        <v>charpente</v>
      </c>
      <c r="D1292" s="141" t="s">
        <v>221</v>
      </c>
      <c r="E1292" s="348">
        <v>6</v>
      </c>
      <c r="F1292" s="348"/>
      <c r="G1292" s="356"/>
    </row>
    <row r="1293" spans="1:7" x14ac:dyDescent="0.25">
      <c r="A1293" s="160" t="s">
        <v>282</v>
      </c>
      <c r="B1293" s="160" t="str">
        <f t="shared" si="57"/>
        <v>BREUSCHWICKERSHEIM</v>
      </c>
      <c r="C1293" s="343" t="str">
        <f t="shared" ref="C1293:C1298" si="60">C1248</f>
        <v>fondations</v>
      </c>
      <c r="D1293" s="141" t="s">
        <v>221</v>
      </c>
      <c r="E1293" s="348">
        <v>41</v>
      </c>
      <c r="F1293" s="348"/>
      <c r="G1293" s="356" t="s">
        <v>350</v>
      </c>
    </row>
    <row r="1294" spans="1:7" x14ac:dyDescent="0.25">
      <c r="A1294" s="160" t="s">
        <v>363</v>
      </c>
      <c r="B1294" s="160" t="str">
        <f t="shared" si="57"/>
        <v>GAMBSHEIM</v>
      </c>
      <c r="C1294" s="343" t="str">
        <f t="shared" si="60"/>
        <v>marchés en cours</v>
      </c>
      <c r="D1294" s="141"/>
      <c r="E1294" s="348"/>
      <c r="F1294" s="348"/>
      <c r="G1294" s="356"/>
    </row>
    <row r="1295" spans="1:7" x14ac:dyDescent="0.25">
      <c r="A1295" s="160" t="s">
        <v>364</v>
      </c>
      <c r="B1295" s="160" t="str">
        <f t="shared" si="57"/>
        <v>OBERLAUTERBACH</v>
      </c>
      <c r="C1295" s="343" t="str">
        <f t="shared" si="60"/>
        <v>marchés S43</v>
      </c>
      <c r="D1295" s="141"/>
      <c r="E1295" s="348"/>
      <c r="F1295" s="348"/>
      <c r="G1295" s="356"/>
    </row>
    <row r="1296" spans="1:7" x14ac:dyDescent="0.25">
      <c r="A1296" s="160" t="s">
        <v>181</v>
      </c>
      <c r="B1296" s="161" t="str">
        <f t="shared" si="57"/>
        <v>OBERMODERN-ZUTZENDORF</v>
      </c>
      <c r="C1296" s="343" t="str">
        <f t="shared" si="60"/>
        <v>chape s41</v>
      </c>
      <c r="D1296" s="343"/>
      <c r="E1296" s="348"/>
      <c r="F1296" s="348"/>
      <c r="G1296" s="356"/>
    </row>
    <row r="1297" spans="1:8" x14ac:dyDescent="0.25">
      <c r="A1297" s="160" t="s">
        <v>164</v>
      </c>
      <c r="B1297" s="161" t="str">
        <f t="shared" si="57"/>
        <v>WILDERSBACH</v>
      </c>
      <c r="C1297" s="343" t="str">
        <f t="shared" si="60"/>
        <v>à receptionner</v>
      </c>
      <c r="D1297" s="343"/>
      <c r="E1297" s="348"/>
      <c r="F1297" s="348"/>
      <c r="G1297" s="356"/>
    </row>
    <row r="1298" spans="1:8" x14ac:dyDescent="0.25">
      <c r="A1298" s="160" t="s">
        <v>248</v>
      </c>
      <c r="B1298" s="161" t="str">
        <f t="shared" si="57"/>
        <v>AVENHEIM</v>
      </c>
      <c r="C1298" s="343" t="str">
        <f t="shared" si="60"/>
        <v>dalle basse RDC</v>
      </c>
      <c r="D1298" s="343"/>
      <c r="E1298" s="348"/>
      <c r="F1298" s="348"/>
      <c r="G1298" s="356"/>
    </row>
    <row r="1299" spans="1:8" x14ac:dyDescent="0.25">
      <c r="A1299" s="160"/>
      <c r="B1299" s="343"/>
      <c r="C1299" s="343"/>
      <c r="D1299" s="148"/>
      <c r="E1299" s="348"/>
      <c r="F1299" s="348"/>
    </row>
    <row r="1303" spans="1:8" x14ac:dyDescent="0.25">
      <c r="A1303" s="407" t="s">
        <v>373</v>
      </c>
      <c r="B1303" s="407"/>
      <c r="C1303" s="407"/>
      <c r="D1303" s="407"/>
      <c r="E1303" s="407"/>
      <c r="F1303" s="407"/>
      <c r="G1303" s="407"/>
    </row>
    <row r="1304" spans="1:8" ht="15.75" thickBot="1" x14ac:dyDescent="0.3">
      <c r="A1304" s="407" t="s">
        <v>374</v>
      </c>
      <c r="B1304" s="407"/>
      <c r="C1304" s="407"/>
      <c r="D1304" s="407"/>
      <c r="E1304" s="407"/>
      <c r="F1304" s="407"/>
      <c r="G1304" s="407"/>
    </row>
    <row r="1305" spans="1:8" ht="15" customHeight="1" x14ac:dyDescent="0.25">
      <c r="C1305" s="401" t="s">
        <v>80</v>
      </c>
      <c r="D1305" s="402"/>
    </row>
    <row r="1306" spans="1:8" ht="6.75" customHeight="1" x14ac:dyDescent="0.25">
      <c r="C1306" s="403"/>
      <c r="D1306" s="404"/>
    </row>
    <row r="1307" spans="1:8" ht="27" customHeight="1" thickBot="1" x14ac:dyDescent="0.3">
      <c r="C1307" s="405"/>
      <c r="D1307" s="406"/>
    </row>
    <row r="1308" spans="1:8" ht="27" customHeight="1" thickBot="1" x14ac:dyDescent="0.3">
      <c r="C1308" s="121" t="s">
        <v>1</v>
      </c>
      <c r="D1308" s="113">
        <f ca="1">D1128</f>
        <v>41</v>
      </c>
    </row>
    <row r="1309" spans="1:8" ht="15" customHeight="1" x14ac:dyDescent="0.25">
      <c r="C1309" s="121"/>
      <c r="H1309" s="345"/>
    </row>
    <row r="1310" spans="1:8" ht="10.5" customHeight="1" x14ac:dyDescent="0.25">
      <c r="C1310" s="109"/>
      <c r="D1310" s="109"/>
      <c r="E1310" s="348"/>
      <c r="F1310" s="348"/>
    </row>
    <row r="1311" spans="1:8" ht="21.75" customHeight="1" x14ac:dyDescent="0.4">
      <c r="B1311" s="114" t="s">
        <v>77</v>
      </c>
      <c r="C1311" s="114" t="s">
        <v>271</v>
      </c>
      <c r="D1311" s="342" t="s">
        <v>272</v>
      </c>
      <c r="E1311" s="141"/>
      <c r="F1311" s="348"/>
    </row>
    <row r="1312" spans="1:8" ht="16.5" customHeight="1" x14ac:dyDescent="0.3">
      <c r="C1312" s="110"/>
      <c r="D1312" s="109"/>
      <c r="E1312" s="348"/>
      <c r="F1312" s="348"/>
    </row>
    <row r="1313" spans="1:7" s="138" customFormat="1" ht="16.5" customHeight="1" x14ac:dyDescent="0.25">
      <c r="A1313" s="369" t="s">
        <v>78</v>
      </c>
      <c r="B1313" s="369" t="s">
        <v>294</v>
      </c>
      <c r="C1313" s="141" t="s">
        <v>79</v>
      </c>
      <c r="D1313" s="112" t="s">
        <v>375</v>
      </c>
      <c r="E1313" s="348" t="s">
        <v>352</v>
      </c>
      <c r="F1313" s="348" t="s">
        <v>369</v>
      </c>
      <c r="G1313" s="141" t="s">
        <v>126</v>
      </c>
    </row>
    <row r="1314" spans="1:7" ht="16.5" customHeight="1" x14ac:dyDescent="0.25">
      <c r="A1314" s="111" t="s">
        <v>213</v>
      </c>
      <c r="B1314" s="111" t="str">
        <f t="shared" ref="B1314:B1341" si="61">B10</f>
        <v>PFETTISHEIM</v>
      </c>
      <c r="C1314" s="342" t="str">
        <f t="shared" ref="C1314:C1341" si="62">C10</f>
        <v>pignons</v>
      </c>
      <c r="D1314" s="141"/>
      <c r="E1314" s="348"/>
      <c r="F1314" s="348"/>
      <c r="G1314" s="354"/>
    </row>
    <row r="1315" spans="1:7" ht="15" customHeight="1" x14ac:dyDescent="0.25">
      <c r="A1315" s="116" t="s">
        <v>278</v>
      </c>
      <c r="B1315" s="116" t="str">
        <f t="shared" si="61"/>
        <v>BLIENSCHWILLER</v>
      </c>
      <c r="C1315" s="342" t="str">
        <f t="shared" si="62"/>
        <v>fondations</v>
      </c>
      <c r="D1315" s="141"/>
      <c r="E1315" s="348"/>
      <c r="F1315" s="349"/>
      <c r="G1315" s="355"/>
    </row>
    <row r="1316" spans="1:7" ht="15" customHeight="1" x14ac:dyDescent="0.25">
      <c r="A1316" s="116" t="s">
        <v>259</v>
      </c>
      <c r="B1316" s="116" t="str">
        <f t="shared" si="61"/>
        <v>BERSTHEIM</v>
      </c>
      <c r="C1316" s="342" t="str">
        <f t="shared" si="62"/>
        <v>dalle basse RDC</v>
      </c>
      <c r="D1316" s="141"/>
      <c r="E1316" s="348"/>
      <c r="F1316" s="349"/>
      <c r="G1316" s="355"/>
    </row>
    <row r="1317" spans="1:7" ht="15" customHeight="1" x14ac:dyDescent="0.25">
      <c r="A1317" s="116" t="s">
        <v>279</v>
      </c>
      <c r="B1317" s="116" t="str">
        <f t="shared" si="61"/>
        <v>FRIEDOLSHEIM</v>
      </c>
      <c r="C1317" s="342" t="str">
        <f t="shared" si="62"/>
        <v>dalle basse RDC</v>
      </c>
      <c r="D1317" s="141" t="s">
        <v>290</v>
      </c>
      <c r="E1317" s="348">
        <v>41</v>
      </c>
      <c r="F1317" s="349"/>
      <c r="G1317" s="355" t="s">
        <v>362</v>
      </c>
    </row>
    <row r="1318" spans="1:7" ht="15" customHeight="1" x14ac:dyDescent="0.25">
      <c r="A1318" s="116" t="s">
        <v>179</v>
      </c>
      <c r="B1318" s="116" t="str">
        <f t="shared" si="61"/>
        <v>GERTSHEIM</v>
      </c>
      <c r="C1318" s="342" t="str">
        <f t="shared" si="62"/>
        <v>à receptionner</v>
      </c>
      <c r="D1318" s="141"/>
      <c r="E1318" s="348"/>
      <c r="F1318" s="349"/>
      <c r="G1318" s="355"/>
    </row>
    <row r="1319" spans="1:7" ht="15" customHeight="1" x14ac:dyDescent="0.25">
      <c r="A1319" s="116" t="s">
        <v>197</v>
      </c>
      <c r="B1319" s="116" t="str">
        <f t="shared" si="61"/>
        <v>STRASBOURG</v>
      </c>
      <c r="C1319" s="342" t="str">
        <f t="shared" si="62"/>
        <v>chape s42</v>
      </c>
      <c r="D1319" s="141"/>
      <c r="E1319" s="348"/>
      <c r="F1319" s="349"/>
      <c r="G1319" s="355"/>
    </row>
    <row r="1320" spans="1:7" ht="15" customHeight="1" x14ac:dyDescent="0.25">
      <c r="A1320" s="116" t="s">
        <v>280</v>
      </c>
      <c r="B1320" s="116" t="str">
        <f t="shared" si="61"/>
        <v>HENGWILLER</v>
      </c>
      <c r="C1320" s="342" t="str">
        <f t="shared" si="62"/>
        <v>soubassement</v>
      </c>
      <c r="D1320" s="141"/>
      <c r="E1320" s="348"/>
      <c r="F1320" s="349"/>
      <c r="G1320" s="355"/>
    </row>
    <row r="1321" spans="1:7" ht="15" customHeight="1" x14ac:dyDescent="0.25">
      <c r="A1321" s="116" t="s">
        <v>198</v>
      </c>
      <c r="B1321" s="116" t="str">
        <f t="shared" si="61"/>
        <v>HANGENBIENTEN</v>
      </c>
      <c r="C1321" s="342" t="str">
        <f t="shared" si="62"/>
        <v>dalle basse RDC</v>
      </c>
      <c r="D1321" s="141"/>
      <c r="E1321" s="348"/>
      <c r="F1321" s="349"/>
      <c r="G1321" s="355"/>
    </row>
    <row r="1322" spans="1:7" ht="15" customHeight="1" x14ac:dyDescent="0.25">
      <c r="A1322" s="116" t="s">
        <v>281</v>
      </c>
      <c r="B1322" s="116" t="str">
        <f t="shared" si="61"/>
        <v>OBERHOFFEN</v>
      </c>
      <c r="C1322" s="342" t="str">
        <f t="shared" si="62"/>
        <v>dalle basse RDC</v>
      </c>
      <c r="D1322" s="141"/>
      <c r="E1322" s="348"/>
      <c r="F1322" s="349"/>
      <c r="G1322" s="355"/>
    </row>
    <row r="1323" spans="1:7" x14ac:dyDescent="0.25">
      <c r="A1323" s="116" t="s">
        <v>199</v>
      </c>
      <c r="B1323" s="116" t="str">
        <f t="shared" si="61"/>
        <v>EBERSHEIM</v>
      </c>
      <c r="C1323" s="342" t="str">
        <f t="shared" si="62"/>
        <v>couvert</v>
      </c>
      <c r="D1323" s="141"/>
      <c r="E1323" s="348"/>
      <c r="F1323" s="349"/>
      <c r="G1323" s="355"/>
    </row>
    <row r="1324" spans="1:7" x14ac:dyDescent="0.25">
      <c r="A1324" s="116" t="s">
        <v>256</v>
      </c>
      <c r="B1324" s="116" t="str">
        <f t="shared" si="61"/>
        <v>DINSHEIM S/ BRUCHE</v>
      </c>
      <c r="C1324" s="342" t="str">
        <f t="shared" si="62"/>
        <v>GO fini</v>
      </c>
      <c r="D1324" s="141"/>
      <c r="E1324" s="348"/>
      <c r="F1324" s="349"/>
      <c r="G1324" s="355"/>
    </row>
    <row r="1325" spans="1:7" x14ac:dyDescent="0.25">
      <c r="A1325" s="116" t="s">
        <v>357</v>
      </c>
      <c r="B1325" s="116" t="str">
        <f t="shared" si="61"/>
        <v>MOLSHEIM</v>
      </c>
      <c r="C1325" s="342" t="str">
        <f t="shared" si="62"/>
        <v>marchés en cours</v>
      </c>
      <c r="D1325" s="141"/>
      <c r="E1325" s="348"/>
      <c r="F1325" s="349"/>
      <c r="G1325" s="355"/>
    </row>
    <row r="1326" spans="1:7" x14ac:dyDescent="0.25">
      <c r="A1326" s="116" t="s">
        <v>200</v>
      </c>
      <c r="B1326" s="116" t="str">
        <f t="shared" si="61"/>
        <v>KLEINFRANKENHEIM</v>
      </c>
      <c r="C1326" s="342" t="str">
        <f t="shared" si="62"/>
        <v>second œuvre en cours charge client</v>
      </c>
      <c r="D1326" s="141"/>
      <c r="E1326" s="348"/>
      <c r="F1326" s="349"/>
      <c r="G1326" s="355"/>
    </row>
    <row r="1327" spans="1:7" x14ac:dyDescent="0.25">
      <c r="A1327" s="116" t="s">
        <v>161</v>
      </c>
      <c r="B1327" s="116" t="str">
        <f t="shared" si="61"/>
        <v>HANGENBIENTEN</v>
      </c>
      <c r="C1327" s="342" t="str">
        <f t="shared" si="62"/>
        <v>chape</v>
      </c>
      <c r="D1327" s="141"/>
      <c r="E1327" s="348"/>
      <c r="F1327" s="349"/>
      <c r="G1327" s="355"/>
    </row>
    <row r="1328" spans="1:7" x14ac:dyDescent="0.25">
      <c r="A1328" s="116" t="s">
        <v>185</v>
      </c>
      <c r="B1328" s="116" t="str">
        <f t="shared" si="61"/>
        <v>PETERSBACH</v>
      </c>
      <c r="C1328" s="342" t="str">
        <f t="shared" si="62"/>
        <v>couvert</v>
      </c>
      <c r="D1328" s="141"/>
      <c r="E1328" s="348"/>
      <c r="F1328" s="349"/>
      <c r="G1328" s="355"/>
    </row>
    <row r="1329" spans="1:7" x14ac:dyDescent="0.25">
      <c r="A1329" s="116" t="s">
        <v>162</v>
      </c>
      <c r="B1329" s="116" t="str">
        <f t="shared" si="61"/>
        <v>ENTZHEIM</v>
      </c>
      <c r="C1329" s="342" t="str">
        <f t="shared" si="62"/>
        <v>chape</v>
      </c>
      <c r="D1329" s="141"/>
      <c r="E1329" s="348"/>
      <c r="F1329" s="349"/>
      <c r="G1329" s="355"/>
    </row>
    <row r="1330" spans="1:7" x14ac:dyDescent="0.25">
      <c r="A1330" s="116" t="s">
        <v>152</v>
      </c>
      <c r="B1330" s="116" t="str">
        <f t="shared" si="61"/>
        <v>KILSTETT</v>
      </c>
      <c r="C1330" s="342" t="str">
        <f t="shared" si="62"/>
        <v>chantier en arrêt</v>
      </c>
      <c r="D1330" s="141"/>
      <c r="E1330" s="348"/>
      <c r="F1330" s="349"/>
      <c r="G1330" s="355"/>
    </row>
    <row r="1331" spans="1:7" x14ac:dyDescent="0.25">
      <c r="A1331" s="116" t="s">
        <v>218</v>
      </c>
      <c r="B1331" s="116" t="str">
        <f t="shared" si="61"/>
        <v>ESCHBACH</v>
      </c>
      <c r="C1331" s="342" t="str">
        <f t="shared" si="62"/>
        <v>couvert</v>
      </c>
      <c r="D1331" s="141"/>
      <c r="E1331" s="348"/>
      <c r="F1331" s="349"/>
      <c r="G1331" s="355"/>
    </row>
    <row r="1332" spans="1:7" x14ac:dyDescent="0.25">
      <c r="A1332" s="116" t="s">
        <v>163</v>
      </c>
      <c r="B1332" s="116" t="str">
        <f t="shared" si="61"/>
        <v>BISCHWILLER</v>
      </c>
      <c r="C1332" s="342" t="str">
        <f t="shared" si="62"/>
        <v>chape s42</v>
      </c>
      <c r="D1332" s="141"/>
      <c r="E1332" s="348"/>
      <c r="F1332" s="349"/>
      <c r="G1332" s="355"/>
    </row>
    <row r="1333" spans="1:7" x14ac:dyDescent="0.25">
      <c r="A1333" s="136" t="s">
        <v>153</v>
      </c>
      <c r="B1333" s="136" t="str">
        <f t="shared" si="61"/>
        <v>PFETTISHEIM</v>
      </c>
      <c r="C1333" s="342" t="str">
        <f t="shared" si="62"/>
        <v>à receptionner</v>
      </c>
      <c r="D1333" s="141"/>
      <c r="E1333" s="348"/>
      <c r="F1333" s="349"/>
      <c r="G1333" s="355"/>
    </row>
    <row r="1334" spans="1:7" x14ac:dyDescent="0.25">
      <c r="A1334" s="136" t="s">
        <v>201</v>
      </c>
      <c r="B1334" s="136" t="str">
        <f t="shared" si="61"/>
        <v>KINDWILLER</v>
      </c>
      <c r="C1334" s="342" t="str">
        <f t="shared" si="62"/>
        <v>clos couvert</v>
      </c>
      <c r="D1334" s="141"/>
      <c r="E1334" s="348"/>
      <c r="F1334" s="348"/>
      <c r="G1334" s="356"/>
    </row>
    <row r="1335" spans="1:7" x14ac:dyDescent="0.25">
      <c r="A1335" s="136" t="s">
        <v>180</v>
      </c>
      <c r="B1335" s="136" t="str">
        <f t="shared" si="61"/>
        <v>KILSTETT</v>
      </c>
      <c r="C1335" s="343" t="str">
        <f t="shared" si="62"/>
        <v>chape s42</v>
      </c>
      <c r="D1335" s="141"/>
      <c r="E1335" s="348"/>
      <c r="F1335" s="349"/>
      <c r="G1335" s="355"/>
    </row>
    <row r="1336" spans="1:7" x14ac:dyDescent="0.25">
      <c r="A1336" s="160" t="s">
        <v>214</v>
      </c>
      <c r="B1336" s="160" t="str">
        <f t="shared" si="61"/>
        <v>BUST</v>
      </c>
      <c r="C1336" s="343" t="str">
        <f t="shared" si="62"/>
        <v>couvert</v>
      </c>
      <c r="D1336" s="141"/>
      <c r="E1336" s="348"/>
      <c r="F1336" s="348"/>
      <c r="G1336" s="356"/>
    </row>
    <row r="1337" spans="1:7" x14ac:dyDescent="0.25">
      <c r="A1337" s="160" t="s">
        <v>202</v>
      </c>
      <c r="B1337" s="160" t="str">
        <f t="shared" si="61"/>
        <v>LUTZELHOUSE</v>
      </c>
      <c r="C1337" s="343" t="str">
        <f t="shared" si="62"/>
        <v>charpente</v>
      </c>
      <c r="D1337" s="141"/>
      <c r="E1337" s="348"/>
      <c r="F1337" s="348"/>
      <c r="G1337" s="356"/>
    </row>
    <row r="1338" spans="1:7" x14ac:dyDescent="0.25">
      <c r="A1338" s="160" t="s">
        <v>282</v>
      </c>
      <c r="B1338" s="160" t="str">
        <f t="shared" si="61"/>
        <v>BREUSCHWICKERSHEIM</v>
      </c>
      <c r="C1338" s="343" t="str">
        <f t="shared" si="62"/>
        <v>fondations</v>
      </c>
      <c r="D1338" s="141"/>
      <c r="E1338" s="348"/>
      <c r="F1338" s="348"/>
      <c r="G1338" s="356"/>
    </row>
    <row r="1339" spans="1:7" x14ac:dyDescent="0.25">
      <c r="A1339" s="160" t="s">
        <v>363</v>
      </c>
      <c r="B1339" s="160" t="str">
        <f t="shared" si="61"/>
        <v>GAMBSHEIM</v>
      </c>
      <c r="C1339" s="343" t="str">
        <f t="shared" si="62"/>
        <v>marchés en cours</v>
      </c>
      <c r="D1339" s="141"/>
      <c r="E1339" s="348"/>
      <c r="F1339" s="348"/>
      <c r="G1339" s="356"/>
    </row>
    <row r="1340" spans="1:7" x14ac:dyDescent="0.25">
      <c r="A1340" s="160" t="s">
        <v>364</v>
      </c>
      <c r="B1340" s="160" t="str">
        <f t="shared" si="61"/>
        <v>OBERLAUTERBACH</v>
      </c>
      <c r="C1340" s="343" t="str">
        <f t="shared" si="62"/>
        <v>marchés S43</v>
      </c>
      <c r="D1340" s="141"/>
      <c r="E1340" s="348"/>
      <c r="F1340" s="348"/>
      <c r="G1340" s="356"/>
    </row>
    <row r="1341" spans="1:7" x14ac:dyDescent="0.25">
      <c r="A1341" s="160" t="s">
        <v>181</v>
      </c>
      <c r="B1341" s="161" t="str">
        <f t="shared" si="61"/>
        <v>OBERMODERN-ZUTZENDORF</v>
      </c>
      <c r="C1341" s="343" t="str">
        <f t="shared" si="62"/>
        <v>chape s41</v>
      </c>
      <c r="D1341" s="343" t="s">
        <v>359</v>
      </c>
      <c r="E1341" s="348" t="s">
        <v>360</v>
      </c>
      <c r="F1341" s="348"/>
      <c r="G1341" s="356" t="s">
        <v>361</v>
      </c>
    </row>
    <row r="1342" spans="1:7" x14ac:dyDescent="0.25">
      <c r="A1342" s="160" t="s">
        <v>164</v>
      </c>
      <c r="B1342" s="161" t="str">
        <f>B38</f>
        <v>WILDERSBACH</v>
      </c>
      <c r="C1342" s="177" t="str">
        <f>C38</f>
        <v>à receptionner</v>
      </c>
      <c r="D1342" s="343"/>
      <c r="E1342" s="348"/>
      <c r="F1342" s="348"/>
      <c r="G1342" s="356"/>
    </row>
    <row r="1343" spans="1:7" x14ac:dyDescent="0.25">
      <c r="A1343" s="160" t="s">
        <v>248</v>
      </c>
      <c r="B1343" s="161" t="str">
        <f>B39</f>
        <v>AVENHEIM</v>
      </c>
      <c r="C1343" s="177" t="str">
        <f>C39</f>
        <v>dalle basse RDC</v>
      </c>
      <c r="D1343" s="343"/>
      <c r="E1343" s="348"/>
      <c r="F1343" s="348"/>
      <c r="G1343" s="356"/>
    </row>
    <row r="1344" spans="1:7" x14ac:dyDescent="0.25">
      <c r="A1344" s="160"/>
      <c r="B1344" s="343"/>
      <c r="C1344" s="343"/>
      <c r="D1344" s="148"/>
      <c r="E1344" s="348"/>
      <c r="F1344" s="348"/>
    </row>
    <row r="1348" spans="1:8" x14ac:dyDescent="0.25">
      <c r="A1348" s="407" t="s">
        <v>373</v>
      </c>
      <c r="B1348" s="407"/>
      <c r="C1348" s="407"/>
      <c r="D1348" s="407"/>
      <c r="E1348" s="407"/>
      <c r="F1348" s="407"/>
      <c r="G1348" s="407"/>
    </row>
    <row r="1349" spans="1:8" ht="15.75" thickBot="1" x14ac:dyDescent="0.3">
      <c r="A1349" s="407" t="s">
        <v>374</v>
      </c>
      <c r="B1349" s="407"/>
      <c r="C1349" s="407"/>
      <c r="D1349" s="407"/>
      <c r="E1349" s="407"/>
      <c r="F1349" s="407"/>
      <c r="G1349" s="407"/>
    </row>
    <row r="1350" spans="1:8" ht="15" customHeight="1" x14ac:dyDescent="0.25">
      <c r="C1350" s="401" t="s">
        <v>80</v>
      </c>
      <c r="D1350" s="402"/>
    </row>
    <row r="1351" spans="1:8" ht="6.75" customHeight="1" x14ac:dyDescent="0.25">
      <c r="C1351" s="403"/>
      <c r="D1351" s="404"/>
    </row>
    <row r="1352" spans="1:8" ht="27" customHeight="1" thickBot="1" x14ac:dyDescent="0.3">
      <c r="C1352" s="405"/>
      <c r="D1352" s="406"/>
    </row>
    <row r="1353" spans="1:8" ht="27" customHeight="1" thickBot="1" x14ac:dyDescent="0.3">
      <c r="C1353" s="121" t="s">
        <v>1</v>
      </c>
      <c r="D1353" s="113">
        <f ca="1">D1173</f>
        <v>41</v>
      </c>
    </row>
    <row r="1354" spans="1:8" ht="15" customHeight="1" x14ac:dyDescent="0.25">
      <c r="C1354" s="121"/>
      <c r="H1354" s="368"/>
    </row>
    <row r="1355" spans="1:8" ht="10.5" customHeight="1" x14ac:dyDescent="0.25">
      <c r="C1355" s="109"/>
      <c r="D1355" s="109"/>
      <c r="E1355" s="348"/>
      <c r="F1355" s="348"/>
    </row>
    <row r="1356" spans="1:8" ht="21.75" customHeight="1" x14ac:dyDescent="0.4">
      <c r="B1356" s="114" t="s">
        <v>77</v>
      </c>
      <c r="C1356" s="114" t="s">
        <v>371</v>
      </c>
      <c r="D1356" s="342" t="s">
        <v>249</v>
      </c>
      <c r="E1356" s="141"/>
      <c r="F1356" s="348"/>
    </row>
    <row r="1357" spans="1:8" ht="16.5" customHeight="1" x14ac:dyDescent="0.3">
      <c r="C1357" s="110"/>
      <c r="D1357" s="109"/>
      <c r="E1357" s="348"/>
      <c r="F1357" s="348"/>
    </row>
    <row r="1358" spans="1:8" s="138" customFormat="1" ht="16.5" customHeight="1" x14ac:dyDescent="0.25">
      <c r="A1358" s="369" t="s">
        <v>78</v>
      </c>
      <c r="B1358" s="369" t="s">
        <v>294</v>
      </c>
      <c r="C1358" s="141" t="s">
        <v>79</v>
      </c>
      <c r="D1358" s="112" t="s">
        <v>375</v>
      </c>
      <c r="E1358" s="348" t="s">
        <v>352</v>
      </c>
      <c r="F1358" s="348" t="s">
        <v>369</v>
      </c>
      <c r="G1358" s="141" t="s">
        <v>126</v>
      </c>
    </row>
    <row r="1359" spans="1:8" ht="16.5" customHeight="1" x14ac:dyDescent="0.25">
      <c r="A1359" s="111" t="s">
        <v>213</v>
      </c>
      <c r="B1359" s="111" t="str">
        <f t="shared" ref="B1359:C1374" si="63">B55</f>
        <v>PFETTISHEIM</v>
      </c>
      <c r="C1359" s="342" t="str">
        <f t="shared" si="63"/>
        <v>pignons</v>
      </c>
      <c r="D1359" s="141"/>
      <c r="E1359" s="348"/>
      <c r="F1359" s="348"/>
      <c r="G1359" s="354"/>
    </row>
    <row r="1360" spans="1:8" ht="15" customHeight="1" x14ac:dyDescent="0.25">
      <c r="A1360" s="116" t="s">
        <v>278</v>
      </c>
      <c r="B1360" s="116" t="str">
        <f t="shared" si="63"/>
        <v>BLIENSCHWILLER</v>
      </c>
      <c r="C1360" s="342" t="str">
        <f t="shared" si="63"/>
        <v>fondations</v>
      </c>
      <c r="D1360" s="141"/>
      <c r="E1360" s="348"/>
      <c r="F1360" s="349"/>
      <c r="G1360" s="355"/>
    </row>
    <row r="1361" spans="1:7" ht="15" customHeight="1" x14ac:dyDescent="0.25">
      <c r="A1361" s="116" t="s">
        <v>259</v>
      </c>
      <c r="B1361" s="116" t="str">
        <f t="shared" si="63"/>
        <v>BERSTHEIM</v>
      </c>
      <c r="C1361" s="342" t="str">
        <f t="shared" si="63"/>
        <v>dalle basse RDC</v>
      </c>
      <c r="D1361" s="141"/>
      <c r="E1361" s="348"/>
      <c r="F1361" s="349"/>
      <c r="G1361" s="355"/>
    </row>
    <row r="1362" spans="1:7" ht="15" customHeight="1" x14ac:dyDescent="0.25">
      <c r="A1362" s="116" t="s">
        <v>279</v>
      </c>
      <c r="B1362" s="116" t="str">
        <f t="shared" si="63"/>
        <v>FRIEDOLSHEIM</v>
      </c>
      <c r="C1362" s="342" t="str">
        <f t="shared" si="63"/>
        <v>dalle basse RDC</v>
      </c>
      <c r="D1362" s="141"/>
      <c r="E1362" s="348"/>
      <c r="F1362" s="349"/>
      <c r="G1362" s="355"/>
    </row>
    <row r="1363" spans="1:7" ht="15" customHeight="1" x14ac:dyDescent="0.25">
      <c r="A1363" s="116" t="s">
        <v>179</v>
      </c>
      <c r="B1363" s="116" t="str">
        <f t="shared" si="63"/>
        <v>GERTSHEIM</v>
      </c>
      <c r="C1363" s="342" t="str">
        <f t="shared" si="63"/>
        <v>à receptionner</v>
      </c>
      <c r="D1363" s="141"/>
      <c r="E1363" s="348"/>
      <c r="F1363" s="349"/>
      <c r="G1363" s="355"/>
    </row>
    <row r="1364" spans="1:7" ht="15" customHeight="1" x14ac:dyDescent="0.25">
      <c r="A1364" s="116" t="s">
        <v>197</v>
      </c>
      <c r="B1364" s="116" t="str">
        <f t="shared" si="63"/>
        <v>STRASBOURG</v>
      </c>
      <c r="C1364" s="342" t="str">
        <f t="shared" si="63"/>
        <v>chape s42</v>
      </c>
      <c r="D1364" s="141"/>
      <c r="E1364" s="348"/>
      <c r="F1364" s="349"/>
      <c r="G1364" s="355"/>
    </row>
    <row r="1365" spans="1:7" ht="15" customHeight="1" x14ac:dyDescent="0.25">
      <c r="A1365" s="116" t="s">
        <v>280</v>
      </c>
      <c r="B1365" s="116" t="str">
        <f t="shared" si="63"/>
        <v>HENGWILLER</v>
      </c>
      <c r="C1365" s="342" t="str">
        <f t="shared" si="63"/>
        <v>soubassement</v>
      </c>
      <c r="D1365" s="141"/>
      <c r="E1365" s="348"/>
      <c r="F1365" s="349"/>
      <c r="G1365" s="355"/>
    </row>
    <row r="1366" spans="1:7" ht="15" customHeight="1" x14ac:dyDescent="0.25">
      <c r="A1366" s="116" t="s">
        <v>198</v>
      </c>
      <c r="B1366" s="116" t="str">
        <f t="shared" si="63"/>
        <v>HANGENBIENTEN</v>
      </c>
      <c r="C1366" s="342" t="str">
        <f t="shared" si="63"/>
        <v>dalle basse RDC</v>
      </c>
      <c r="D1366" s="141"/>
      <c r="E1366" s="348"/>
      <c r="F1366" s="349"/>
      <c r="G1366" s="355"/>
    </row>
    <row r="1367" spans="1:7" ht="15" customHeight="1" x14ac:dyDescent="0.25">
      <c r="A1367" s="116" t="s">
        <v>281</v>
      </c>
      <c r="B1367" s="116" t="str">
        <f t="shared" si="63"/>
        <v>OBERHOFFEN</v>
      </c>
      <c r="C1367" s="342" t="str">
        <f t="shared" si="63"/>
        <v>dalle basse RDC</v>
      </c>
      <c r="D1367" s="141"/>
      <c r="E1367" s="348"/>
      <c r="F1367" s="349"/>
      <c r="G1367" s="355"/>
    </row>
    <row r="1368" spans="1:7" x14ac:dyDescent="0.25">
      <c r="A1368" s="116" t="s">
        <v>199</v>
      </c>
      <c r="B1368" s="116" t="str">
        <f t="shared" si="63"/>
        <v>EBERSHEIM</v>
      </c>
      <c r="C1368" s="342" t="str">
        <f t="shared" si="63"/>
        <v>couvert</v>
      </c>
      <c r="D1368" s="141"/>
      <c r="E1368" s="348"/>
      <c r="F1368" s="349"/>
      <c r="G1368" s="355"/>
    </row>
    <row r="1369" spans="1:7" x14ac:dyDescent="0.25">
      <c r="A1369" s="116" t="s">
        <v>256</v>
      </c>
      <c r="B1369" s="116" t="str">
        <f t="shared" si="63"/>
        <v>DINSHEIM S/ BRUCHE</v>
      </c>
      <c r="C1369" s="342" t="str">
        <f t="shared" si="63"/>
        <v>GO fini</v>
      </c>
      <c r="D1369" s="141" t="s">
        <v>372</v>
      </c>
      <c r="E1369" s="348">
        <v>42</v>
      </c>
      <c r="F1369" s="349"/>
      <c r="G1369" s="355"/>
    </row>
    <row r="1370" spans="1:7" x14ac:dyDescent="0.25">
      <c r="A1370" s="116" t="s">
        <v>357</v>
      </c>
      <c r="B1370" s="116" t="str">
        <f t="shared" si="63"/>
        <v>MOLSHEIM</v>
      </c>
      <c r="C1370" s="342" t="str">
        <f t="shared" si="63"/>
        <v>marchés en cours</v>
      </c>
      <c r="D1370" s="141"/>
      <c r="E1370" s="348"/>
      <c r="F1370" s="349"/>
      <c r="G1370" s="355"/>
    </row>
    <row r="1371" spans="1:7" x14ac:dyDescent="0.25">
      <c r="A1371" s="116" t="s">
        <v>200</v>
      </c>
      <c r="B1371" s="116" t="str">
        <f t="shared" si="63"/>
        <v>KLEINFRANKENHEIM</v>
      </c>
      <c r="C1371" s="342" t="str">
        <f t="shared" si="63"/>
        <v>second œuvre en cours charge client</v>
      </c>
      <c r="D1371" s="141"/>
      <c r="E1371" s="348"/>
      <c r="F1371" s="349"/>
      <c r="G1371" s="355"/>
    </row>
    <row r="1372" spans="1:7" x14ac:dyDescent="0.25">
      <c r="A1372" s="116" t="s">
        <v>161</v>
      </c>
      <c r="B1372" s="116" t="str">
        <f t="shared" si="63"/>
        <v>HANGENBIENTEN</v>
      </c>
      <c r="C1372" s="342" t="str">
        <f t="shared" si="63"/>
        <v>chape</v>
      </c>
      <c r="D1372" s="141"/>
      <c r="E1372" s="348"/>
      <c r="F1372" s="349"/>
      <c r="G1372" s="355"/>
    </row>
    <row r="1373" spans="1:7" x14ac:dyDescent="0.25">
      <c r="A1373" s="116" t="s">
        <v>185</v>
      </c>
      <c r="B1373" s="116" t="str">
        <f t="shared" si="63"/>
        <v>PETERSBACH</v>
      </c>
      <c r="C1373" s="342" t="str">
        <f t="shared" si="63"/>
        <v>couvert</v>
      </c>
      <c r="D1373" s="141"/>
      <c r="E1373" s="348"/>
      <c r="F1373" s="349"/>
      <c r="G1373" s="355"/>
    </row>
    <row r="1374" spans="1:7" x14ac:dyDescent="0.25">
      <c r="A1374" s="116" t="s">
        <v>162</v>
      </c>
      <c r="B1374" s="116" t="str">
        <f t="shared" si="63"/>
        <v>ENTZHEIM</v>
      </c>
      <c r="C1374" s="342" t="str">
        <f t="shared" si="63"/>
        <v>chape</v>
      </c>
      <c r="D1374" s="141"/>
      <c r="E1374" s="348"/>
      <c r="F1374" s="349"/>
      <c r="G1374" s="355"/>
    </row>
    <row r="1375" spans="1:7" x14ac:dyDescent="0.25">
      <c r="A1375" s="116" t="s">
        <v>152</v>
      </c>
      <c r="B1375" s="116" t="str">
        <f t="shared" ref="B1375:C1386" si="64">B71</f>
        <v>KILSTETT</v>
      </c>
      <c r="C1375" s="342" t="str">
        <f t="shared" si="64"/>
        <v>chantier en arrêt</v>
      </c>
      <c r="D1375" s="141"/>
      <c r="E1375" s="348"/>
      <c r="F1375" s="349"/>
      <c r="G1375" s="355"/>
    </row>
    <row r="1376" spans="1:7" x14ac:dyDescent="0.25">
      <c r="A1376" s="116" t="s">
        <v>218</v>
      </c>
      <c r="B1376" s="116" t="str">
        <f t="shared" si="64"/>
        <v>ESCHBACH</v>
      </c>
      <c r="C1376" s="342" t="str">
        <f t="shared" si="64"/>
        <v>couvert</v>
      </c>
      <c r="D1376" s="141"/>
      <c r="E1376" s="348"/>
      <c r="F1376" s="349"/>
      <c r="G1376" s="355"/>
    </row>
    <row r="1377" spans="1:7" x14ac:dyDescent="0.25">
      <c r="A1377" s="116" t="s">
        <v>163</v>
      </c>
      <c r="B1377" s="116" t="str">
        <f t="shared" si="64"/>
        <v>BISCHWILLER</v>
      </c>
      <c r="C1377" s="342" t="str">
        <f t="shared" si="64"/>
        <v>chape s42</v>
      </c>
      <c r="D1377" s="141"/>
      <c r="E1377" s="348"/>
      <c r="F1377" s="349"/>
      <c r="G1377" s="355"/>
    </row>
    <row r="1378" spans="1:7" x14ac:dyDescent="0.25">
      <c r="A1378" s="136" t="s">
        <v>153</v>
      </c>
      <c r="B1378" s="136" t="str">
        <f t="shared" si="64"/>
        <v>PFETTISHEIM</v>
      </c>
      <c r="C1378" s="342" t="str">
        <f t="shared" si="64"/>
        <v>à receptionner</v>
      </c>
      <c r="D1378" s="141"/>
      <c r="E1378" s="348"/>
      <c r="F1378" s="349"/>
      <c r="G1378" s="355"/>
    </row>
    <row r="1379" spans="1:7" x14ac:dyDescent="0.25">
      <c r="A1379" s="136" t="s">
        <v>201</v>
      </c>
      <c r="B1379" s="136" t="str">
        <f t="shared" si="64"/>
        <v>KINDWILLER</v>
      </c>
      <c r="C1379" s="342" t="str">
        <f t="shared" si="64"/>
        <v>clos couvert</v>
      </c>
      <c r="D1379" s="141"/>
      <c r="E1379" s="348"/>
      <c r="F1379" s="348"/>
      <c r="G1379" s="356"/>
    </row>
    <row r="1380" spans="1:7" x14ac:dyDescent="0.25">
      <c r="A1380" s="136" t="s">
        <v>180</v>
      </c>
      <c r="B1380" s="136" t="str">
        <f t="shared" si="64"/>
        <v>KILSTETT</v>
      </c>
      <c r="C1380" s="343" t="str">
        <f t="shared" si="64"/>
        <v>chape s42</v>
      </c>
      <c r="D1380" s="141"/>
      <c r="E1380" s="348"/>
      <c r="F1380" s="349"/>
      <c r="G1380" s="355"/>
    </row>
    <row r="1381" spans="1:7" x14ac:dyDescent="0.25">
      <c r="A1381" s="160" t="s">
        <v>214</v>
      </c>
      <c r="B1381" s="160" t="str">
        <f t="shared" si="64"/>
        <v>BUST</v>
      </c>
      <c r="C1381" s="343" t="str">
        <f t="shared" si="64"/>
        <v>couvert</v>
      </c>
      <c r="D1381" s="141"/>
      <c r="E1381" s="348"/>
      <c r="F1381" s="348"/>
      <c r="G1381" s="356"/>
    </row>
    <row r="1382" spans="1:7" x14ac:dyDescent="0.25">
      <c r="A1382" s="160" t="s">
        <v>202</v>
      </c>
      <c r="B1382" s="160" t="str">
        <f t="shared" si="64"/>
        <v>LUTZELHOUSE</v>
      </c>
      <c r="C1382" s="343" t="str">
        <f t="shared" si="64"/>
        <v>charpente</v>
      </c>
      <c r="D1382" s="141"/>
      <c r="E1382" s="348"/>
      <c r="F1382" s="348"/>
      <c r="G1382" s="356"/>
    </row>
    <row r="1383" spans="1:7" x14ac:dyDescent="0.25">
      <c r="A1383" s="160" t="s">
        <v>282</v>
      </c>
      <c r="B1383" s="160" t="str">
        <f t="shared" si="64"/>
        <v>BREUSCHWICKERSHEIM</v>
      </c>
      <c r="C1383" s="343" t="str">
        <f t="shared" si="64"/>
        <v>fondations</v>
      </c>
      <c r="D1383" s="141"/>
      <c r="E1383" s="348"/>
      <c r="F1383" s="348"/>
      <c r="G1383" s="356"/>
    </row>
    <row r="1384" spans="1:7" x14ac:dyDescent="0.25">
      <c r="A1384" s="160" t="s">
        <v>363</v>
      </c>
      <c r="B1384" s="160" t="str">
        <f t="shared" si="64"/>
        <v>GAMBSHEIM</v>
      </c>
      <c r="C1384" s="343" t="str">
        <f t="shared" si="64"/>
        <v>marchés en cours</v>
      </c>
      <c r="D1384" s="141"/>
      <c r="E1384" s="348"/>
      <c r="F1384" s="348"/>
      <c r="G1384" s="356"/>
    </row>
    <row r="1385" spans="1:7" x14ac:dyDescent="0.25">
      <c r="A1385" s="160" t="s">
        <v>364</v>
      </c>
      <c r="B1385" s="160" t="str">
        <f t="shared" si="64"/>
        <v>OBERLAUTERBACH</v>
      </c>
      <c r="C1385" s="343" t="str">
        <f t="shared" si="64"/>
        <v>marchés S43</v>
      </c>
      <c r="D1385" s="141"/>
      <c r="E1385" s="348"/>
      <c r="F1385" s="348"/>
      <c r="G1385" s="356"/>
    </row>
    <row r="1386" spans="1:7" x14ac:dyDescent="0.25">
      <c r="A1386" s="160" t="s">
        <v>181</v>
      </c>
      <c r="B1386" s="161" t="str">
        <f t="shared" si="64"/>
        <v>OBERMODERN-ZUTZENDORF</v>
      </c>
      <c r="C1386" s="343" t="str">
        <f t="shared" si="64"/>
        <v>chape s41</v>
      </c>
      <c r="D1386" s="343"/>
      <c r="E1386" s="348"/>
      <c r="F1386" s="348"/>
      <c r="G1386" s="356"/>
    </row>
    <row r="1387" spans="1:7" x14ac:dyDescent="0.25">
      <c r="A1387" s="160" t="s">
        <v>164</v>
      </c>
      <c r="B1387" s="161" t="str">
        <f>B83</f>
        <v>WILDERSBACH</v>
      </c>
      <c r="C1387" s="177" t="str">
        <f>C83</f>
        <v>à receptionner</v>
      </c>
      <c r="D1387" s="343"/>
      <c r="E1387" s="348"/>
      <c r="F1387" s="348"/>
      <c r="G1387" s="356"/>
    </row>
    <row r="1388" spans="1:7" x14ac:dyDescent="0.25">
      <c r="A1388" s="160" t="s">
        <v>248</v>
      </c>
      <c r="B1388" s="161" t="str">
        <f>B84</f>
        <v>AVENHEIM</v>
      </c>
      <c r="C1388" s="177" t="str">
        <f>C84</f>
        <v>dalle basse RDC</v>
      </c>
      <c r="D1388" s="343"/>
      <c r="E1388" s="348"/>
      <c r="F1388" s="348"/>
      <c r="G1388" s="356"/>
    </row>
    <row r="1389" spans="1:7" x14ac:dyDescent="0.25">
      <c r="A1389" s="160"/>
      <c r="B1389" s="343"/>
      <c r="C1389" s="343"/>
      <c r="D1389" s="148"/>
      <c r="E1389" s="348"/>
      <c r="F1389" s="348"/>
    </row>
    <row r="1393" spans="1:7" x14ac:dyDescent="0.25">
      <c r="A1393" s="407" t="s">
        <v>373</v>
      </c>
      <c r="B1393" s="407"/>
      <c r="C1393" s="407"/>
      <c r="D1393" s="407"/>
      <c r="E1393" s="407"/>
      <c r="F1393" s="407"/>
      <c r="G1393" s="407"/>
    </row>
    <row r="1394" spans="1:7" x14ac:dyDescent="0.25">
      <c r="A1394" s="407" t="s">
        <v>374</v>
      </c>
      <c r="B1394" s="407"/>
      <c r="C1394" s="407"/>
      <c r="D1394" s="407"/>
      <c r="E1394" s="407"/>
      <c r="F1394" s="407"/>
      <c r="G1394" s="407"/>
    </row>
  </sheetData>
  <dataConsolidate/>
  <mergeCells count="93">
    <mergeCell ref="C1350:D1352"/>
    <mergeCell ref="A1393:G1393"/>
    <mergeCell ref="A1394:G1394"/>
    <mergeCell ref="A89:G89"/>
    <mergeCell ref="A90:G90"/>
    <mergeCell ref="C1035:D1037"/>
    <mergeCell ref="A1078:G1078"/>
    <mergeCell ref="A1123:G1123"/>
    <mergeCell ref="A1124:G1124"/>
    <mergeCell ref="C1125:D1127"/>
    <mergeCell ref="A899:G899"/>
    <mergeCell ref="C900:D902"/>
    <mergeCell ref="C945:D947"/>
    <mergeCell ref="A988:G988"/>
    <mergeCell ref="A943:G943"/>
    <mergeCell ref="A944:G944"/>
    <mergeCell ref="A179:G179"/>
    <mergeCell ref="A223:G223"/>
    <mergeCell ref="C675:D677"/>
    <mergeCell ref="A718:G718"/>
    <mergeCell ref="A719:G719"/>
    <mergeCell ref="C91:D93"/>
    <mergeCell ref="A134:G134"/>
    <mergeCell ref="A135:G135"/>
    <mergeCell ref="C136:D138"/>
    <mergeCell ref="A178:G178"/>
    <mergeCell ref="C1:D3"/>
    <mergeCell ref="C46:D48"/>
    <mergeCell ref="A44:G44"/>
    <mergeCell ref="A45:G45"/>
    <mergeCell ref="C180:D182"/>
    <mergeCell ref="C225:D227"/>
    <mergeCell ref="C270:D272"/>
    <mergeCell ref="A224:G224"/>
    <mergeCell ref="A268:G268"/>
    <mergeCell ref="A269:G269"/>
    <mergeCell ref="A313:G313"/>
    <mergeCell ref="A314:G314"/>
    <mergeCell ref="A358:G358"/>
    <mergeCell ref="A359:G359"/>
    <mergeCell ref="A403:G403"/>
    <mergeCell ref="A538:G538"/>
    <mergeCell ref="A539:G539"/>
    <mergeCell ref="C540:D542"/>
    <mergeCell ref="A583:G583"/>
    <mergeCell ref="A584:G584"/>
    <mergeCell ref="C585:D587"/>
    <mergeCell ref="A628:G628"/>
    <mergeCell ref="A629:G629"/>
    <mergeCell ref="C630:D632"/>
    <mergeCell ref="A673:G673"/>
    <mergeCell ref="A674:G674"/>
    <mergeCell ref="A989:G989"/>
    <mergeCell ref="C990:D992"/>
    <mergeCell ref="A1033:G1033"/>
    <mergeCell ref="A1034:G1034"/>
    <mergeCell ref="A764:G764"/>
    <mergeCell ref="C765:D767"/>
    <mergeCell ref="A808:G808"/>
    <mergeCell ref="A809:G809"/>
    <mergeCell ref="C720:D722"/>
    <mergeCell ref="A763:G763"/>
    <mergeCell ref="C810:D812"/>
    <mergeCell ref="A853:G853"/>
    <mergeCell ref="A854:G854"/>
    <mergeCell ref="C855:D857"/>
    <mergeCell ref="A898:G898"/>
    <mergeCell ref="C315:D317"/>
    <mergeCell ref="C360:D362"/>
    <mergeCell ref="C405:D407"/>
    <mergeCell ref="C450:D452"/>
    <mergeCell ref="C495:D497"/>
    <mergeCell ref="A404:G404"/>
    <mergeCell ref="A448:G448"/>
    <mergeCell ref="A449:G449"/>
    <mergeCell ref="A493:G493"/>
    <mergeCell ref="A494:G494"/>
    <mergeCell ref="C1305:D1307"/>
    <mergeCell ref="A1348:G1348"/>
    <mergeCell ref="A1349:G1349"/>
    <mergeCell ref="A1079:G1079"/>
    <mergeCell ref="C1080:D1082"/>
    <mergeCell ref="A1213:G1213"/>
    <mergeCell ref="A1214:G1214"/>
    <mergeCell ref="C1215:D1217"/>
    <mergeCell ref="C1170:D1172"/>
    <mergeCell ref="A1168:G1168"/>
    <mergeCell ref="A1169:G1169"/>
    <mergeCell ref="A1258:G1258"/>
    <mergeCell ref="A1259:G1259"/>
    <mergeCell ref="C1260:D1262"/>
    <mergeCell ref="A1303:G1303"/>
    <mergeCell ref="A1304:G1304"/>
  </mergeCells>
  <dataValidations count="2">
    <dataValidation type="list" allowBlank="1" showInputMessage="1" showErrorMessage="1" sqref="D321:E321 D231:E232 D142:E142 D186:E186 D52:E52 D7:E7 D815:D816 D1221:E1221 D1176:E1176 D1131:E1131 D1086:E1086 D1041:E1041 D996:E996 D951:E951 D906:E906 D861:E861 D771:E771 D726:E726 D681:E681 D636:E636 D591:E591 D546:E546 D501:E501 D456:E456 D411:E411 D366:E366 D1266:E1266 D276:E276 D1311:E1311 D1356:E1356">
      <formula1>mail</formula1>
    </dataValidation>
    <dataValidation type="list" allowBlank="1" showInputMessage="1" showErrorMessage="1" sqref="C321 C231:C232 C142 C186 C7 C52 C1221 C1176 C1131 C1086 C1041 C996 C951 C906 C861 C816 C771 C726 C681 C636 C591 C546 C501 C456 C411 C366 C1266 C276 C1311 C1356">
      <formula1>Entreprises</formula1>
    </dataValidation>
  </dataValidations>
  <hyperlinks>
    <hyperlink ref="D816" r:id="rId1"/>
    <hyperlink ref="D906" r:id="rId2" display="contact@sarlnordisolation.fr"/>
    <hyperlink ref="D681" r:id="rId3"/>
  </hyperlinks>
  <printOptions horizontalCentered="1" verticalCentered="1"/>
  <pageMargins left="0.25" right="0.25" top="0.75" bottom="0.75" header="0.3" footer="0.3"/>
  <pageSetup paperSize="9" scale="70" orientation="landscape" r:id="rId4"/>
  <rowBreaks count="30" manualBreakCount="30">
    <brk id="45" max="6" man="1"/>
    <brk id="90" max="6" man="1"/>
    <brk id="135" max="6" man="1"/>
    <brk id="179" max="6" man="1"/>
    <brk id="224" max="6" man="1"/>
    <brk id="269" max="6" man="1"/>
    <brk id="314" max="6" man="1"/>
    <brk id="359" max="6" man="1"/>
    <brk id="404" max="6" man="1"/>
    <brk id="449" max="6" man="1"/>
    <brk id="494" max="6" man="1"/>
    <brk id="539" max="16383" man="1"/>
    <brk id="584" max="6" man="1"/>
    <brk id="629" max="6" man="1"/>
    <brk id="674" max="6" man="1"/>
    <brk id="719" max="6" man="1"/>
    <brk id="764" max="16383" man="1"/>
    <brk id="809" max="6" man="1"/>
    <brk id="854" max="6" man="1"/>
    <brk id="899" max="6" man="1"/>
    <brk id="944" max="6" man="1"/>
    <brk id="989" max="16383" man="1"/>
    <brk id="1034" max="6" man="1"/>
    <brk id="1079" max="6" man="1"/>
    <brk id="1124" max="6" man="1"/>
    <brk id="1169" max="6" man="1"/>
    <brk id="1214" max="16383" man="1"/>
    <brk id="1259" max="6" man="1"/>
    <brk id="1304" max="6" man="1"/>
    <brk id="1349" max="6" man="1"/>
  </rowBreaks>
  <ignoredErrors>
    <ignoredError sqref="E11" calculatedColumn="1"/>
  </ignoredErrors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7" name="Button 13">
              <controlPr defaultSize="0" print="0" autoFill="0" autoPict="0" macro="[0]!EditerEnPDF">
                <anchor moveWithCells="1" sizeWithCells="1">
                  <from>
                    <xdr:col>4</xdr:col>
                    <xdr:colOff>733425</xdr:colOff>
                    <xdr:row>0</xdr:row>
                    <xdr:rowOff>104775</xdr:rowOff>
                  </from>
                  <to>
                    <xdr:col>6</xdr:col>
                    <xdr:colOff>838200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8" name="Button 15">
              <controlPr defaultSize="0" print="0" autoFill="0" autoPict="0" macro="[0]!Clients">
                <anchor moveWithCells="1" sizeWithCells="1">
                  <from>
                    <xdr:col>4</xdr:col>
                    <xdr:colOff>733425</xdr:colOff>
                    <xdr:row>3</xdr:row>
                    <xdr:rowOff>104775</xdr:rowOff>
                  </from>
                  <to>
                    <xdr:col>6</xdr:col>
                    <xdr:colOff>838200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9" name="Button 32">
              <controlPr defaultSize="0" print="0" autoFill="0" autoPict="0" macro="[0]!mail_bayard">
                <anchor moveWithCells="1" sizeWithCells="1">
                  <from>
                    <xdr:col>5</xdr:col>
                    <xdr:colOff>257175</xdr:colOff>
                    <xdr:row>95</xdr:row>
                    <xdr:rowOff>76200</xdr:rowOff>
                  </from>
                  <to>
                    <xdr:col>6</xdr:col>
                    <xdr:colOff>714375</xdr:colOff>
                    <xdr:row>97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0" name="Button 38">
              <controlPr defaultSize="0" print="0" autoFill="0" autoPict="0" macro="[0]!mail_bechtel">
                <anchor moveWithCells="1" sizeWithCells="1">
                  <from>
                    <xdr:col>5</xdr:col>
                    <xdr:colOff>228600</xdr:colOff>
                    <xdr:row>140</xdr:row>
                    <xdr:rowOff>66675</xdr:rowOff>
                  </from>
                  <to>
                    <xdr:col>6</xdr:col>
                    <xdr:colOff>704850</xdr:colOff>
                    <xdr:row>141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11" name="Button 41">
              <controlPr defaultSize="0" print="0" autoFill="0" autoPict="0" macro="[0]!mail_beck">
                <anchor moveWithCells="1" sizeWithCells="1">
                  <from>
                    <xdr:col>5</xdr:col>
                    <xdr:colOff>304800</xdr:colOff>
                    <xdr:row>184</xdr:row>
                    <xdr:rowOff>28575</xdr:rowOff>
                  </from>
                  <to>
                    <xdr:col>6</xdr:col>
                    <xdr:colOff>485775</xdr:colOff>
                    <xdr:row>185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12" name="Button 50">
              <controlPr defaultSize="0" print="0" autoFill="0" autoPict="0" macro="[0]!mail_benelec">
                <anchor moveWithCells="1" sizeWithCells="1">
                  <from>
                    <xdr:col>5</xdr:col>
                    <xdr:colOff>323850</xdr:colOff>
                    <xdr:row>228</xdr:row>
                    <xdr:rowOff>66675</xdr:rowOff>
                  </from>
                  <to>
                    <xdr:col>6</xdr:col>
                    <xdr:colOff>904875</xdr:colOff>
                    <xdr:row>230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3" name="Button 56">
              <controlPr defaultSize="0" print="0" autoFill="0" autoPict="0" macro="[0]!mail_carrelagedelest">
                <anchor moveWithCells="1" sizeWithCells="1">
                  <from>
                    <xdr:col>5</xdr:col>
                    <xdr:colOff>219075</xdr:colOff>
                    <xdr:row>274</xdr:row>
                    <xdr:rowOff>66675</xdr:rowOff>
                  </from>
                  <to>
                    <xdr:col>6</xdr:col>
                    <xdr:colOff>571500</xdr:colOff>
                    <xdr:row>276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4" name="Button 63">
              <controlPr defaultSize="0" print="0" autoFill="0" autoPict="0" macro="[0]!mail_degriff">
                <anchor moveWithCells="1" sizeWithCells="1">
                  <from>
                    <xdr:col>5</xdr:col>
                    <xdr:colOff>228600</xdr:colOff>
                    <xdr:row>319</xdr:row>
                    <xdr:rowOff>114300</xdr:rowOff>
                  </from>
                  <to>
                    <xdr:col>6</xdr:col>
                    <xdr:colOff>590550</xdr:colOff>
                    <xdr:row>321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15" name="Button 69">
              <controlPr defaultSize="0" print="0" autoFill="0" autoPict="0" macro="[0]!mail_ekotherm">
                <anchor moveWithCells="1" sizeWithCells="1">
                  <from>
                    <xdr:col>5</xdr:col>
                    <xdr:colOff>247650</xdr:colOff>
                    <xdr:row>364</xdr:row>
                    <xdr:rowOff>85725</xdr:rowOff>
                  </from>
                  <to>
                    <xdr:col>6</xdr:col>
                    <xdr:colOff>704850</xdr:colOff>
                    <xdr:row>366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16" name="Button 75">
              <controlPr defaultSize="0" print="0" autoFill="0" autoPict="0" macro="[0]!mail_hecker">
                <anchor moveWithCells="1" sizeWithCells="1">
                  <from>
                    <xdr:col>5</xdr:col>
                    <xdr:colOff>247650</xdr:colOff>
                    <xdr:row>409</xdr:row>
                    <xdr:rowOff>95250</xdr:rowOff>
                  </from>
                  <to>
                    <xdr:col>6</xdr:col>
                    <xdr:colOff>666750</xdr:colOff>
                    <xdr:row>411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17" name="Button 87">
              <controlPr defaultSize="0" print="0" autoFill="0" autoPict="0" macro="[0]!mail_gabel">
                <anchor moveWithCells="1" sizeWithCells="1">
                  <from>
                    <xdr:col>5</xdr:col>
                    <xdr:colOff>371475</xdr:colOff>
                    <xdr:row>499</xdr:row>
                    <xdr:rowOff>85725</xdr:rowOff>
                  </from>
                  <to>
                    <xdr:col>6</xdr:col>
                    <xdr:colOff>590550</xdr:colOff>
                    <xdr:row>501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18" name="Button 93">
              <controlPr defaultSize="0" print="0" autoFill="0" autoPict="0" macro="[0]!mail_danaci">
                <anchor moveWithCells="1" sizeWithCells="1">
                  <from>
                    <xdr:col>5</xdr:col>
                    <xdr:colOff>466725</xdr:colOff>
                    <xdr:row>544</xdr:row>
                    <xdr:rowOff>9525</xdr:rowOff>
                  </from>
                  <to>
                    <xdr:col>6</xdr:col>
                    <xdr:colOff>762000</xdr:colOff>
                    <xdr:row>545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9" name="Button 99">
              <controlPr defaultSize="0" print="0" autoFill="0" autoPict="0" macro="[0]!mail_hda">
                <anchor moveWithCells="1" sizeWithCells="1">
                  <from>
                    <xdr:col>5</xdr:col>
                    <xdr:colOff>190500</xdr:colOff>
                    <xdr:row>588</xdr:row>
                    <xdr:rowOff>133350</xdr:rowOff>
                  </from>
                  <to>
                    <xdr:col>6</xdr:col>
                    <xdr:colOff>828675</xdr:colOff>
                    <xdr:row>590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20" name="Button 105">
              <controlPr defaultSize="0" print="0" autoFill="0" autoPict="0" macro="[0]!mail_hertfelder">
                <anchor moveWithCells="1" sizeWithCells="1">
                  <from>
                    <xdr:col>4</xdr:col>
                    <xdr:colOff>847725</xdr:colOff>
                    <xdr:row>635</xdr:row>
                    <xdr:rowOff>9525</xdr:rowOff>
                  </from>
                  <to>
                    <xdr:col>6</xdr:col>
                    <xdr:colOff>790575</xdr:colOff>
                    <xdr:row>636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21" name="Button 111">
              <controlPr defaultSize="0" print="0" autoFill="0" autoPict="0" macro="[0]!mail_heusch">
                <anchor moveWithCells="1" sizeWithCells="1">
                  <from>
                    <xdr:col>5</xdr:col>
                    <xdr:colOff>123825</xdr:colOff>
                    <xdr:row>679</xdr:row>
                    <xdr:rowOff>47625</xdr:rowOff>
                  </from>
                  <to>
                    <xdr:col>6</xdr:col>
                    <xdr:colOff>695325</xdr:colOff>
                    <xdr:row>681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22" name="Button 117">
              <controlPr defaultSize="0" print="0" autoFill="0" autoPict="0" macro="[0]!mail_hilzinger">
                <anchor moveWithCells="1" sizeWithCells="1">
                  <from>
                    <xdr:col>5</xdr:col>
                    <xdr:colOff>85725</xdr:colOff>
                    <xdr:row>724</xdr:row>
                    <xdr:rowOff>66675</xdr:rowOff>
                  </from>
                  <to>
                    <xdr:col>6</xdr:col>
                    <xdr:colOff>847725</xdr:colOff>
                    <xdr:row>725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23" name="Button 123">
              <controlPr defaultSize="0" print="0" autoFill="0" autoPict="0" macro="[0]!mail_kbr">
                <anchor moveWithCells="1" sizeWithCells="1">
                  <from>
                    <xdr:col>5</xdr:col>
                    <xdr:colOff>247650</xdr:colOff>
                    <xdr:row>768</xdr:row>
                    <xdr:rowOff>123825</xdr:rowOff>
                  </from>
                  <to>
                    <xdr:col>6</xdr:col>
                    <xdr:colOff>838200</xdr:colOff>
                    <xdr:row>770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24" name="Button 129">
              <controlPr defaultSize="0" print="0" autoFill="0" autoPict="0" macro="[0]!mail_kovacic">
                <anchor moveWithCells="1" sizeWithCells="1">
                  <from>
                    <xdr:col>5</xdr:col>
                    <xdr:colOff>257175</xdr:colOff>
                    <xdr:row>814</xdr:row>
                    <xdr:rowOff>104775</xdr:rowOff>
                  </from>
                  <to>
                    <xdr:col>6</xdr:col>
                    <xdr:colOff>752475</xdr:colOff>
                    <xdr:row>816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25" name="Button 135">
              <controlPr defaultSize="0" print="0" autoFill="0" autoPict="0" macro="[0]!mail_neumeyer">
                <anchor moveWithCells="1" sizeWithCells="1">
                  <from>
                    <xdr:col>5</xdr:col>
                    <xdr:colOff>352425</xdr:colOff>
                    <xdr:row>859</xdr:row>
                    <xdr:rowOff>114300</xdr:rowOff>
                  </from>
                  <to>
                    <xdr:col>6</xdr:col>
                    <xdr:colOff>828675</xdr:colOff>
                    <xdr:row>861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26" name="Button 147">
              <controlPr defaultSize="0" print="0" autoFill="0" autoPict="0" macro="[0]!mail_ott">
                <anchor moveWithCells="1" sizeWithCells="1">
                  <from>
                    <xdr:col>5</xdr:col>
                    <xdr:colOff>66675</xdr:colOff>
                    <xdr:row>950</xdr:row>
                    <xdr:rowOff>19050</xdr:rowOff>
                  </from>
                  <to>
                    <xdr:col>6</xdr:col>
                    <xdr:colOff>685800</xdr:colOff>
                    <xdr:row>951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27" name="Button 153">
              <controlPr defaultSize="0" print="0" autoFill="0" autoPict="0" macro="[0]!mail_riedinger">
                <anchor moveWithCells="1" sizeWithCells="1">
                  <from>
                    <xdr:col>5</xdr:col>
                    <xdr:colOff>266700</xdr:colOff>
                    <xdr:row>994</xdr:row>
                    <xdr:rowOff>38100</xdr:rowOff>
                  </from>
                  <to>
                    <xdr:col>6</xdr:col>
                    <xdr:colOff>619125</xdr:colOff>
                    <xdr:row>996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28" name="Button 159">
              <controlPr defaultSize="0" print="0" autoFill="0" autoPict="0" macro="[0]!mail_soares">
                <anchor moveWithCells="1" sizeWithCells="1">
                  <from>
                    <xdr:col>5</xdr:col>
                    <xdr:colOff>352425</xdr:colOff>
                    <xdr:row>1039</xdr:row>
                    <xdr:rowOff>66675</xdr:rowOff>
                  </from>
                  <to>
                    <xdr:col>6</xdr:col>
                    <xdr:colOff>990600</xdr:colOff>
                    <xdr:row>1040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29" name="Button 162">
              <controlPr defaultSize="0" print="0" autoFill="0" autoPict="0" macro="[0]!mail_meyerenergies">
                <anchor moveWithCells="1" sizeWithCells="1">
                  <from>
                    <xdr:col>4</xdr:col>
                    <xdr:colOff>733425</xdr:colOff>
                    <xdr:row>903</xdr:row>
                    <xdr:rowOff>19050</xdr:rowOff>
                  </from>
                  <to>
                    <xdr:col>6</xdr:col>
                    <xdr:colOff>809625</xdr:colOff>
                    <xdr:row>905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30" name="Button 165">
              <controlPr defaultSize="0" print="0" autoFill="0" autoPict="0" macro="[0]!mail_sobatra">
                <anchor moveWithCells="1" sizeWithCells="1">
                  <from>
                    <xdr:col>5</xdr:col>
                    <xdr:colOff>19050</xdr:colOff>
                    <xdr:row>1083</xdr:row>
                    <xdr:rowOff>171450</xdr:rowOff>
                  </from>
                  <to>
                    <xdr:col>6</xdr:col>
                    <xdr:colOff>1038225</xdr:colOff>
                    <xdr:row>1086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31" name="Button 171">
              <controlPr defaultSize="0" print="0" autoFill="0" autoPict="0" macro="[0]!mail_soprema">
                <anchor moveWithCells="1" sizeWithCells="1">
                  <from>
                    <xdr:col>5</xdr:col>
                    <xdr:colOff>219075</xdr:colOff>
                    <xdr:row>1129</xdr:row>
                    <xdr:rowOff>85725</xdr:rowOff>
                  </from>
                  <to>
                    <xdr:col>6</xdr:col>
                    <xdr:colOff>723900</xdr:colOff>
                    <xdr:row>1131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32" name="Button 177">
              <controlPr defaultSize="0" print="0" autoFill="0" autoPict="0" macro="[0]!mail_tasteper">
                <anchor moveWithCells="1" sizeWithCells="1">
                  <from>
                    <xdr:col>5</xdr:col>
                    <xdr:colOff>247650</xdr:colOff>
                    <xdr:row>1174</xdr:row>
                    <xdr:rowOff>123825</xdr:rowOff>
                  </from>
                  <to>
                    <xdr:col>6</xdr:col>
                    <xdr:colOff>676275</xdr:colOff>
                    <xdr:row>1176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33" name="Button 183">
              <controlPr defaultSize="0" print="0" autoFill="0" autoPict="0" macro="[0]!mail_tema">
                <anchor moveWithCells="1" sizeWithCells="1">
                  <from>
                    <xdr:col>5</xdr:col>
                    <xdr:colOff>276225</xdr:colOff>
                    <xdr:row>1219</xdr:row>
                    <xdr:rowOff>66675</xdr:rowOff>
                  </from>
                  <to>
                    <xdr:col>6</xdr:col>
                    <xdr:colOff>533400</xdr:colOff>
                    <xdr:row>1220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34" name="Button 189">
              <controlPr defaultSize="0" print="0" autoFill="0" autoPict="0" macro="[0]!mail_wagner">
                <anchor moveWithCells="1" sizeWithCells="1">
                  <from>
                    <xdr:col>5</xdr:col>
                    <xdr:colOff>219075</xdr:colOff>
                    <xdr:row>1264</xdr:row>
                    <xdr:rowOff>28575</xdr:rowOff>
                  </from>
                  <to>
                    <xdr:col>6</xdr:col>
                    <xdr:colOff>647700</xdr:colOff>
                    <xdr:row>1265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35" name="Button 202">
              <controlPr defaultSize="0" print="0" autoFill="0" autoPict="0" macro="[0]!mail_aucoindufeu">
                <anchor moveWithCells="1" sizeWithCells="1">
                  <from>
                    <xdr:col>4</xdr:col>
                    <xdr:colOff>714375</xdr:colOff>
                    <xdr:row>48</xdr:row>
                    <xdr:rowOff>304800</xdr:rowOff>
                  </from>
                  <to>
                    <xdr:col>6</xdr:col>
                    <xdr:colOff>942975</xdr:colOff>
                    <xdr:row>51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36" name="Button 204">
              <controlPr defaultSize="0" print="0" autoFill="0" autoPict="0" macro="[0]!mail_fms">
                <anchor moveWithCells="1" sizeWithCells="1">
                  <from>
                    <xdr:col>5</xdr:col>
                    <xdr:colOff>266700</xdr:colOff>
                    <xdr:row>454</xdr:row>
                    <xdr:rowOff>57150</xdr:rowOff>
                  </from>
                  <to>
                    <xdr:col>6</xdr:col>
                    <xdr:colOff>838200</xdr:colOff>
                    <xdr:row>455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37" name="Button 209">
              <controlPr defaultSize="0" print="0" autoFill="0" autoPict="0" macro="[0]!mail_gross">
                <anchor moveWithCells="1" sizeWithCells="1">
                  <from>
                    <xdr:col>4</xdr:col>
                    <xdr:colOff>733425</xdr:colOff>
                    <xdr:row>4</xdr:row>
                    <xdr:rowOff>57150</xdr:rowOff>
                  </from>
                  <to>
                    <xdr:col>6</xdr:col>
                    <xdr:colOff>847725</xdr:colOff>
                    <xdr:row>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38" name="Button 212">
              <controlPr defaultSize="0" print="0" autoFill="0" autoPict="0" macro="[0]!mail_habitatdelorangerie">
                <anchor moveWithCells="1" sizeWithCells="1">
                  <from>
                    <xdr:col>4</xdr:col>
                    <xdr:colOff>847725</xdr:colOff>
                    <xdr:row>1309</xdr:row>
                    <xdr:rowOff>28575</xdr:rowOff>
                  </from>
                  <to>
                    <xdr:col>6</xdr:col>
                    <xdr:colOff>647700</xdr:colOff>
                    <xdr:row>1310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39" name="Button 215">
              <controlPr defaultSize="0" print="0" autoFill="0" autoPict="0" macro="[0]!mail_pkconcept">
                <anchor moveWithCells="1" sizeWithCells="1">
                  <from>
                    <xdr:col>4</xdr:col>
                    <xdr:colOff>847725</xdr:colOff>
                    <xdr:row>1354</xdr:row>
                    <xdr:rowOff>28575</xdr:rowOff>
                  </from>
                  <to>
                    <xdr:col>6</xdr:col>
                    <xdr:colOff>647700</xdr:colOff>
                    <xdr:row>1355</xdr:row>
                    <xdr:rowOff>266700</xdr:rowOff>
                  </to>
                </anchor>
              </controlPr>
            </control>
          </mc:Choice>
        </mc:AlternateContent>
      </controls>
    </mc:Choice>
  </mc:AlternateContent>
  <tableParts count="31">
    <tablePart r:id="rId40"/>
    <tablePart r:id="rId41"/>
    <tablePart r:id="rId42"/>
    <tablePart r:id="rId43"/>
    <tablePart r:id="rId44"/>
    <tablePart r:id="rId45"/>
    <tablePart r:id="rId46"/>
    <tablePart r:id="rId47"/>
    <tablePart r:id="rId48"/>
    <tablePart r:id="rId49"/>
    <tablePart r:id="rId50"/>
    <tablePart r:id="rId51"/>
    <tablePart r:id="rId52"/>
    <tablePart r:id="rId53"/>
    <tablePart r:id="rId54"/>
    <tablePart r:id="rId55"/>
    <tablePart r:id="rId56"/>
    <tablePart r:id="rId57"/>
    <tablePart r:id="rId58"/>
    <tablePart r:id="rId59"/>
    <tablePart r:id="rId60"/>
    <tablePart r:id="rId61"/>
    <tablePart r:id="rId62"/>
    <tablePart r:id="rId63"/>
    <tablePart r:id="rId64"/>
    <tablePart r:id="rId65"/>
    <tablePart r:id="rId66"/>
    <tablePart r:id="rId67"/>
    <tablePart r:id="rId68"/>
    <tablePart r:id="rId69"/>
    <tablePart r:id="rId70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LISTE!$B$8:$B$54</xm:f>
          </x14:formula1>
          <xm:sqref>C7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  <pageSetUpPr fitToPage="1"/>
  </sheetPr>
  <dimension ref="A1:I74"/>
  <sheetViews>
    <sheetView topLeftCell="A4" zoomScaleNormal="100" workbookViewId="0">
      <selection activeCell="H18" sqref="H18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7" t="s">
        <v>0</v>
      </c>
      <c r="B1" s="378"/>
      <c r="C1" s="378"/>
      <c r="D1" s="378"/>
      <c r="E1" s="378"/>
      <c r="F1" s="378"/>
      <c r="G1" s="378"/>
      <c r="H1" s="1" t="s">
        <v>1</v>
      </c>
      <c r="I1" s="3">
        <f ca="1">INT(MOD(INT((LISTE!D1-2)/7)+0.6,52+5/28))+1</f>
        <v>41</v>
      </c>
    </row>
    <row r="2" spans="1:9" x14ac:dyDescent="0.25">
      <c r="A2" s="390" t="s">
        <v>2</v>
      </c>
      <c r="B2" s="391"/>
      <c r="C2" s="70" t="str">
        <f ca="1">MID(CELL("nomfichier",A1),FIND("]",CELL("nomfichier",A1),1)+1,30)</f>
        <v>BATAILLE</v>
      </c>
      <c r="D2" s="4" t="s">
        <v>72</v>
      </c>
      <c r="E2" s="379">
        <v>43132</v>
      </c>
      <c r="F2" s="379"/>
      <c r="G2" s="5"/>
      <c r="H2" s="380" t="s">
        <v>143</v>
      </c>
      <c r="I2" s="381"/>
    </row>
    <row r="3" spans="1:9" ht="15.75" x14ac:dyDescent="0.25">
      <c r="A3" s="392" t="s">
        <v>106</v>
      </c>
      <c r="B3" s="384"/>
      <c r="C3" s="6" t="s">
        <v>210</v>
      </c>
      <c r="D3" s="7" t="s">
        <v>3</v>
      </c>
      <c r="E3" s="382">
        <v>43257</v>
      </c>
      <c r="F3" s="383"/>
      <c r="G3" s="8"/>
      <c r="H3" s="384" t="str">
        <f ca="1">DATEDIF(E3,TODAY(),"m")&amp;"mois"&amp;-DATEDIF(E3,TODAY(),"md")&amp;"jours"</f>
        <v>4mois-6jours</v>
      </c>
      <c r="I3" s="385"/>
    </row>
    <row r="4" spans="1:9" ht="18.75" x14ac:dyDescent="0.25">
      <c r="A4" s="69" t="s">
        <v>117</v>
      </c>
      <c r="B4" s="129"/>
      <c r="C4" s="9" t="s">
        <v>119</v>
      </c>
      <c r="D4" s="10" t="s">
        <v>4</v>
      </c>
      <c r="E4" s="386">
        <f>E3+60</f>
        <v>43317</v>
      </c>
      <c r="F4" s="386"/>
      <c r="G4" s="11"/>
      <c r="H4" s="12"/>
      <c r="I4" s="13"/>
    </row>
    <row r="5" spans="1:9" x14ac:dyDescent="0.25">
      <c r="A5" s="393" t="s">
        <v>76</v>
      </c>
      <c r="B5" s="394"/>
      <c r="C5" s="15"/>
      <c r="D5" s="16"/>
      <c r="E5" s="15"/>
      <c r="F5" s="15"/>
      <c r="G5" s="17"/>
      <c r="H5" s="18"/>
      <c r="I5" s="19"/>
    </row>
    <row r="6" spans="1:9" ht="18.75" x14ac:dyDescent="0.3">
      <c r="A6" s="395" t="s">
        <v>75</v>
      </c>
      <c r="B6" s="396"/>
      <c r="C6" s="387" t="s">
        <v>145</v>
      </c>
      <c r="D6" s="388"/>
      <c r="E6" s="388"/>
      <c r="F6" s="388"/>
      <c r="G6" s="388"/>
      <c r="H6" s="389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22"/>
      <c r="B8" s="200"/>
      <c r="C8" s="28" t="s">
        <v>124</v>
      </c>
      <c r="D8" s="52" t="s">
        <v>209</v>
      </c>
      <c r="E8" s="180">
        <f ca="1">I1</f>
        <v>41</v>
      </c>
      <c r="F8" s="25"/>
      <c r="G8" s="26" t="s">
        <v>36</v>
      </c>
      <c r="H8" s="27"/>
      <c r="I8" s="19"/>
    </row>
    <row r="9" spans="1:9" x14ac:dyDescent="0.25">
      <c r="A9" s="122"/>
      <c r="B9" s="130"/>
      <c r="C9" s="28" t="s">
        <v>131</v>
      </c>
      <c r="D9" s="53" t="str">
        <f>D8</f>
        <v>BATITOUT 67</v>
      </c>
      <c r="E9" s="181">
        <f ca="1">E8+1</f>
        <v>42</v>
      </c>
      <c r="F9" s="29"/>
      <c r="G9" s="30" t="s">
        <v>36</v>
      </c>
      <c r="H9" s="27"/>
      <c r="I9" s="19"/>
    </row>
    <row r="10" spans="1:9" ht="15" customHeight="1" x14ac:dyDescent="0.25">
      <c r="A10" s="131"/>
      <c r="B10" s="182"/>
      <c r="C10" s="28" t="s">
        <v>132</v>
      </c>
      <c r="D10" s="52" t="str">
        <f>D9</f>
        <v>BATITOUT 67</v>
      </c>
      <c r="E10" s="180">
        <f ca="1">E9</f>
        <v>42</v>
      </c>
      <c r="F10" s="31"/>
      <c r="G10" s="30" t="s">
        <v>36</v>
      </c>
      <c r="H10" s="27"/>
      <c r="I10" s="19"/>
    </row>
    <row r="11" spans="1:9" ht="15" customHeight="1" x14ac:dyDescent="0.25">
      <c r="A11" s="131"/>
      <c r="B11" s="132"/>
      <c r="C11" s="28" t="s">
        <v>133</v>
      </c>
      <c r="D11" s="54" t="str">
        <f>D8</f>
        <v>BATITOUT 67</v>
      </c>
      <c r="E11" s="180">
        <v>35</v>
      </c>
      <c r="F11" s="31"/>
      <c r="G11" s="30" t="s">
        <v>36</v>
      </c>
      <c r="H11" s="27"/>
      <c r="I11" s="19"/>
    </row>
    <row r="12" spans="1:9" ht="15" customHeight="1" x14ac:dyDescent="0.25">
      <c r="A12" s="144">
        <v>13451.5</v>
      </c>
      <c r="B12" s="143">
        <f>A12-4000</f>
        <v>9451.5</v>
      </c>
      <c r="C12" s="28" t="s">
        <v>134</v>
      </c>
      <c r="D12" s="54" t="str">
        <f t="shared" ref="D12:D14" si="0">D9</f>
        <v>BATITOUT 67</v>
      </c>
      <c r="E12" s="180">
        <v>38</v>
      </c>
      <c r="F12" s="31"/>
      <c r="G12" s="30" t="s">
        <v>36</v>
      </c>
      <c r="H12" s="27"/>
      <c r="I12" s="19"/>
    </row>
    <row r="13" spans="1:9" ht="15" customHeight="1" x14ac:dyDescent="0.25">
      <c r="A13" s="131"/>
      <c r="B13" s="132"/>
      <c r="C13" s="28" t="s">
        <v>135</v>
      </c>
      <c r="D13" s="54" t="str">
        <f t="shared" si="0"/>
        <v>BATITOUT 67</v>
      </c>
      <c r="E13" s="180">
        <f>E12+1</f>
        <v>39</v>
      </c>
      <c r="F13" s="31"/>
      <c r="G13" s="30" t="s">
        <v>36</v>
      </c>
      <c r="H13" s="27"/>
      <c r="I13" s="19"/>
    </row>
    <row r="14" spans="1:9" ht="15" customHeight="1" x14ac:dyDescent="0.25">
      <c r="A14" s="131"/>
      <c r="B14" s="132"/>
      <c r="C14" s="28" t="s">
        <v>136</v>
      </c>
      <c r="D14" s="54" t="str">
        <f t="shared" si="0"/>
        <v>BATITOUT 67</v>
      </c>
      <c r="E14" s="180">
        <f>E13</f>
        <v>39</v>
      </c>
      <c r="F14" s="31"/>
      <c r="G14" s="30" t="s">
        <v>36</v>
      </c>
      <c r="H14" s="27"/>
      <c r="I14" s="19"/>
    </row>
    <row r="15" spans="1:9" x14ac:dyDescent="0.25">
      <c r="A15" s="131"/>
      <c r="B15" s="132"/>
      <c r="C15" s="28" t="s">
        <v>62</v>
      </c>
      <c r="D15" s="53" t="s">
        <v>64</v>
      </c>
      <c r="E15" s="24">
        <f ca="1">E10+4</f>
        <v>46</v>
      </c>
      <c r="F15" s="29"/>
      <c r="G15" s="30" t="s">
        <v>70</v>
      </c>
      <c r="H15" s="27"/>
      <c r="I15" s="19"/>
    </row>
    <row r="16" spans="1:9" x14ac:dyDescent="0.25">
      <c r="A16" s="131"/>
      <c r="B16" s="132"/>
      <c r="C16" s="28" t="s">
        <v>10</v>
      </c>
      <c r="D16" s="52" t="s">
        <v>64</v>
      </c>
      <c r="E16" s="24">
        <f ca="1">E10+1</f>
        <v>43</v>
      </c>
      <c r="F16" s="29"/>
      <c r="G16" s="30" t="s">
        <v>70</v>
      </c>
      <c r="H16" s="27"/>
      <c r="I16" s="19"/>
    </row>
    <row r="17" spans="1:9" x14ac:dyDescent="0.25">
      <c r="A17" s="131"/>
      <c r="B17" s="132"/>
      <c r="C17" s="28" t="s">
        <v>11</v>
      </c>
      <c r="D17" s="53" t="s">
        <v>209</v>
      </c>
      <c r="E17" s="24">
        <v>42</v>
      </c>
      <c r="F17" s="29"/>
      <c r="G17" s="30" t="s">
        <v>9</v>
      </c>
      <c r="H17" s="27" t="s">
        <v>370</v>
      </c>
      <c r="I17" s="19"/>
    </row>
    <row r="18" spans="1:9" x14ac:dyDescent="0.25">
      <c r="A18" s="144">
        <v>960.02</v>
      </c>
      <c r="B18" s="143">
        <f>A18</f>
        <v>960.02</v>
      </c>
      <c r="C18" s="28" t="s">
        <v>12</v>
      </c>
      <c r="D18" s="52" t="s">
        <v>41</v>
      </c>
      <c r="E18" s="180">
        <v>42</v>
      </c>
      <c r="F18" s="29"/>
      <c r="G18" s="30" t="s">
        <v>9</v>
      </c>
      <c r="H18" s="27"/>
      <c r="I18" s="19"/>
    </row>
    <row r="19" spans="1:9" x14ac:dyDescent="0.25">
      <c r="A19" s="131"/>
      <c r="B19" s="132"/>
      <c r="C19" s="28" t="s">
        <v>73</v>
      </c>
      <c r="D19" s="53" t="str">
        <f>D10</f>
        <v>BATITOUT 67</v>
      </c>
      <c r="E19" s="24">
        <v>42</v>
      </c>
      <c r="F19" s="29"/>
      <c r="G19" s="30" t="s">
        <v>9</v>
      </c>
      <c r="H19" s="27"/>
      <c r="I19" s="19"/>
    </row>
    <row r="20" spans="1:9" x14ac:dyDescent="0.25">
      <c r="A20" s="149">
        <v>573.12</v>
      </c>
      <c r="B20" s="143">
        <f>A20</f>
        <v>573.12</v>
      </c>
      <c r="C20" s="28" t="s">
        <v>59</v>
      </c>
      <c r="D20" s="52" t="s">
        <v>41</v>
      </c>
      <c r="E20" s="24">
        <f>IF(E19="","",MOD(E19+1,52))</f>
        <v>43</v>
      </c>
      <c r="F20" s="29"/>
      <c r="G20" s="30" t="s">
        <v>9</v>
      </c>
      <c r="H20" s="27"/>
      <c r="I20" s="19"/>
    </row>
    <row r="21" spans="1:9" x14ac:dyDescent="0.25">
      <c r="A21" s="149">
        <v>404.59</v>
      </c>
      <c r="B21" s="143">
        <f>A21</f>
        <v>404.59</v>
      </c>
      <c r="C21" s="28" t="s">
        <v>60</v>
      </c>
      <c r="D21" s="54" t="s">
        <v>44</v>
      </c>
      <c r="E21" s="24">
        <f>E20</f>
        <v>43</v>
      </c>
      <c r="F21" s="29"/>
      <c r="G21" s="30" t="s">
        <v>9</v>
      </c>
      <c r="H21" s="50"/>
      <c r="I21" s="19"/>
    </row>
    <row r="22" spans="1:9" x14ac:dyDescent="0.25">
      <c r="A22" s="131"/>
      <c r="B22" s="132"/>
      <c r="C22" s="167" t="s">
        <v>13</v>
      </c>
      <c r="D22" s="168" t="s">
        <v>44</v>
      </c>
      <c r="E22" s="169">
        <f>E20</f>
        <v>43</v>
      </c>
      <c r="F22" s="170"/>
      <c r="G22" s="171" t="s">
        <v>9</v>
      </c>
      <c r="H22" s="172"/>
      <c r="I22" s="19"/>
    </row>
    <row r="23" spans="1:9" x14ac:dyDescent="0.25">
      <c r="A23" s="144">
        <v>1623.66</v>
      </c>
      <c r="B23" s="143">
        <f>A23</f>
        <v>1623.66</v>
      </c>
      <c r="C23" s="32" t="s">
        <v>138</v>
      </c>
      <c r="D23" s="52" t="s">
        <v>45</v>
      </c>
      <c r="E23" s="24">
        <v>44</v>
      </c>
      <c r="F23" s="29"/>
      <c r="G23" s="30" t="s">
        <v>9</v>
      </c>
      <c r="H23" s="27"/>
      <c r="I23" s="19"/>
    </row>
    <row r="24" spans="1:9" x14ac:dyDescent="0.25">
      <c r="A24" s="131"/>
      <c r="B24" s="132"/>
      <c r="C24" s="28" t="s">
        <v>14</v>
      </c>
      <c r="D24" s="53" t="str">
        <f>D17</f>
        <v>BATITOUT 67</v>
      </c>
      <c r="E24" s="24">
        <v>44</v>
      </c>
      <c r="F24" s="29"/>
      <c r="G24" s="30" t="s">
        <v>9</v>
      </c>
      <c r="H24" s="27"/>
      <c r="I24" s="19"/>
    </row>
    <row r="25" spans="1:9" x14ac:dyDescent="0.25">
      <c r="A25" s="257"/>
      <c r="B25" s="143">
        <f>A25</f>
        <v>0</v>
      </c>
      <c r="C25" s="183" t="s">
        <v>137</v>
      </c>
      <c r="D25" s="53" t="s">
        <v>55</v>
      </c>
      <c r="E25" s="24">
        <f>E23</f>
        <v>44</v>
      </c>
      <c r="F25" s="29"/>
      <c r="G25" s="72" t="s">
        <v>9</v>
      </c>
      <c r="H25" s="27"/>
      <c r="I25" s="19"/>
    </row>
    <row r="26" spans="1:9" x14ac:dyDescent="0.25">
      <c r="A26" s="131"/>
      <c r="B26" s="132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145"/>
      <c r="B27" s="146"/>
      <c r="C27" s="387" t="s">
        <v>144</v>
      </c>
      <c r="D27" s="388"/>
      <c r="E27" s="388"/>
      <c r="F27" s="388"/>
      <c r="G27" s="388"/>
      <c r="H27" s="389"/>
      <c r="I27" s="19"/>
    </row>
    <row r="28" spans="1:9" ht="15.75" thickBot="1" x14ac:dyDescent="0.3">
      <c r="A28" s="131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44">
        <v>1125.28</v>
      </c>
      <c r="B29" s="143">
        <f>A29</f>
        <v>1125.28</v>
      </c>
      <c r="C29" s="78" t="s">
        <v>66</v>
      </c>
      <c r="D29" s="52" t="s">
        <v>90</v>
      </c>
      <c r="E29" s="79">
        <v>44</v>
      </c>
      <c r="F29" s="25"/>
      <c r="G29" s="26" t="s">
        <v>9</v>
      </c>
      <c r="H29" s="27"/>
      <c r="I29" s="19"/>
    </row>
    <row r="30" spans="1:9" x14ac:dyDescent="0.25">
      <c r="A30" s="144">
        <v>2368.13</v>
      </c>
      <c r="B30" s="143">
        <f>A30</f>
        <v>2368.13</v>
      </c>
      <c r="C30" s="28" t="s">
        <v>67</v>
      </c>
      <c r="D30" s="53" t="s">
        <v>47</v>
      </c>
      <c r="E30" s="24">
        <f>IF(E29="","",MOD(E29+1,52))</f>
        <v>45</v>
      </c>
      <c r="F30" s="29"/>
      <c r="G30" s="30"/>
      <c r="H30" s="27"/>
      <c r="I30" s="19"/>
    </row>
    <row r="31" spans="1:9" x14ac:dyDescent="0.25">
      <c r="A31" s="131"/>
      <c r="B31" s="132"/>
      <c r="C31" s="62" t="s">
        <v>16</v>
      </c>
      <c r="D31" s="52" t="str">
        <f>D29</f>
        <v>ELECTRO HECKER</v>
      </c>
      <c r="E31" s="24">
        <f>IF(E30="","",MOD(E30+2,52))</f>
        <v>47</v>
      </c>
      <c r="F31" s="29"/>
      <c r="G31" s="30"/>
      <c r="H31" s="27"/>
      <c r="I31" s="19"/>
    </row>
    <row r="32" spans="1:9" x14ac:dyDescent="0.25">
      <c r="A32" s="144">
        <v>480</v>
      </c>
      <c r="B32" s="143">
        <f>A32</f>
        <v>480</v>
      </c>
      <c r="C32" s="80" t="s">
        <v>17</v>
      </c>
      <c r="D32" s="53" t="s">
        <v>51</v>
      </c>
      <c r="E32" s="24">
        <f>IF(E30="","",MOD(E30+2,52))</f>
        <v>47</v>
      </c>
      <c r="F32" s="29"/>
      <c r="G32" s="30"/>
      <c r="H32" s="27"/>
      <c r="I32" s="19"/>
    </row>
    <row r="33" spans="1:9" x14ac:dyDescent="0.25">
      <c r="A33" s="257"/>
      <c r="B33" s="143"/>
      <c r="C33" s="62" t="s">
        <v>140</v>
      </c>
      <c r="D33" s="52" t="s">
        <v>51</v>
      </c>
      <c r="E33" s="24">
        <f>IF(E32="","",MOD(E32+1,52))</f>
        <v>48</v>
      </c>
      <c r="F33" s="29"/>
      <c r="G33" s="30"/>
      <c r="H33" s="27"/>
      <c r="I33" s="19"/>
    </row>
    <row r="34" spans="1:9" x14ac:dyDescent="0.25">
      <c r="A34" s="257"/>
      <c r="B34" s="143">
        <f>A34</f>
        <v>0</v>
      </c>
      <c r="C34" s="28" t="s">
        <v>141</v>
      </c>
      <c r="D34" s="53" t="s">
        <v>51</v>
      </c>
      <c r="E34" s="24">
        <f>IF(E32="","",MOD(E32+1,52))</f>
        <v>48</v>
      </c>
      <c r="F34" s="29"/>
      <c r="G34" s="30"/>
      <c r="H34" s="27"/>
      <c r="I34" s="19"/>
    </row>
    <row r="35" spans="1:9" x14ac:dyDescent="0.25">
      <c r="A35" s="267"/>
      <c r="B35" s="13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257"/>
      <c r="B36" s="143">
        <f>A36</f>
        <v>0</v>
      </c>
      <c r="C36" s="28" t="s">
        <v>19</v>
      </c>
      <c r="D36" s="53" t="s">
        <v>53</v>
      </c>
      <c r="E36" s="24">
        <f>IF(E34="","",MOD(E34+1,52))</f>
        <v>49</v>
      </c>
      <c r="F36" s="29"/>
      <c r="G36" s="30"/>
      <c r="H36" s="27"/>
      <c r="I36" s="19"/>
    </row>
    <row r="37" spans="1:9" x14ac:dyDescent="0.25">
      <c r="A37" s="267"/>
      <c r="B37" s="132"/>
      <c r="C37" s="28" t="s">
        <v>20</v>
      </c>
      <c r="D37" s="52" t="str">
        <f>D30</f>
        <v>SOARES</v>
      </c>
      <c r="E37" s="24">
        <f>IF(E36="","",MOD(E36+1,52))</f>
        <v>50</v>
      </c>
      <c r="F37" s="29"/>
      <c r="G37" s="30"/>
      <c r="H37" s="27"/>
      <c r="I37" s="19"/>
    </row>
    <row r="38" spans="1:9" x14ac:dyDescent="0.25">
      <c r="A38" s="267"/>
      <c r="B38" s="132"/>
      <c r="C38" s="28" t="s">
        <v>21</v>
      </c>
      <c r="D38" s="53" t="str">
        <f>D29</f>
        <v>ELECTRO HECKER</v>
      </c>
      <c r="E38" s="24">
        <f>IF(E37="","",MOD(E37+1,52))</f>
        <v>51</v>
      </c>
      <c r="F38" s="29"/>
      <c r="G38" s="30" t="s">
        <v>9</v>
      </c>
      <c r="H38" s="27"/>
      <c r="I38" s="19"/>
    </row>
    <row r="39" spans="1:9" x14ac:dyDescent="0.25">
      <c r="A39" s="267"/>
      <c r="B39" s="132"/>
      <c r="C39" s="28" t="s">
        <v>22</v>
      </c>
      <c r="D39" s="52" t="str">
        <f>D32</f>
        <v>EKOTHERM</v>
      </c>
      <c r="E39" s="24">
        <f>IF(E37="","",MOD(E37+1,52))</f>
        <v>51</v>
      </c>
      <c r="F39" s="29"/>
      <c r="G39" s="30"/>
      <c r="H39" s="27"/>
      <c r="I39" s="19"/>
    </row>
    <row r="40" spans="1:9" x14ac:dyDescent="0.25">
      <c r="A40" s="267"/>
      <c r="B40" s="132"/>
      <c r="C40" s="28" t="s">
        <v>23</v>
      </c>
      <c r="D40" s="53" t="s">
        <v>53</v>
      </c>
      <c r="E40" s="24">
        <f>E36+4</f>
        <v>53</v>
      </c>
      <c r="F40" s="29"/>
      <c r="G40" s="30" t="s">
        <v>9</v>
      </c>
      <c r="H40" s="27"/>
      <c r="I40" s="19"/>
    </row>
    <row r="41" spans="1:9" x14ac:dyDescent="0.25">
      <c r="A41" s="267"/>
      <c r="B41" s="132"/>
      <c r="C41" s="28" t="s">
        <v>24</v>
      </c>
      <c r="D41" s="52" t="s">
        <v>64</v>
      </c>
      <c r="E41" s="24">
        <f>E39+1</f>
        <v>52</v>
      </c>
      <c r="F41" s="29"/>
      <c r="G41" s="30" t="s">
        <v>70</v>
      </c>
      <c r="H41" s="27"/>
      <c r="I41" s="19"/>
    </row>
    <row r="42" spans="1:9" x14ac:dyDescent="0.25">
      <c r="A42" s="267"/>
      <c r="B42" s="132"/>
      <c r="C42" s="28" t="s">
        <v>25</v>
      </c>
      <c r="D42" s="53" t="str">
        <f>D34</f>
        <v>EKOTHERM</v>
      </c>
      <c r="E42" s="24">
        <f>IF(E40="","",MOD(E40+2,52))</f>
        <v>3</v>
      </c>
      <c r="F42" s="29"/>
      <c r="G42" s="30"/>
      <c r="H42" s="27"/>
      <c r="I42" s="19"/>
    </row>
    <row r="43" spans="1:9" x14ac:dyDescent="0.25">
      <c r="A43" s="257"/>
      <c r="B43" s="143">
        <f>A43</f>
        <v>0</v>
      </c>
      <c r="C43" s="81" t="s">
        <v>147</v>
      </c>
      <c r="D43" s="52" t="s">
        <v>64</v>
      </c>
      <c r="E43" s="82">
        <f>E44</f>
        <v>3</v>
      </c>
      <c r="F43" s="83"/>
      <c r="G43" s="72" t="s">
        <v>70</v>
      </c>
      <c r="H43" s="27"/>
      <c r="I43" s="19"/>
    </row>
    <row r="44" spans="1:9" x14ac:dyDescent="0.25">
      <c r="A44" s="257"/>
      <c r="B44" s="143">
        <f>A44</f>
        <v>0</v>
      </c>
      <c r="C44" s="81" t="s">
        <v>139</v>
      </c>
      <c r="D44" s="193" t="s">
        <v>54</v>
      </c>
      <c r="E44" s="82">
        <f>IF(E40="","",MOD(E40+2,52))</f>
        <v>3</v>
      </c>
      <c r="F44" s="83"/>
      <c r="G44" s="72"/>
      <c r="H44" s="194"/>
      <c r="I44" s="19"/>
    </row>
    <row r="45" spans="1:9" x14ac:dyDescent="0.25">
      <c r="A45" s="267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268"/>
      <c r="B46" s="146"/>
      <c r="C46" s="387" t="s">
        <v>146</v>
      </c>
      <c r="D46" s="388"/>
      <c r="E46" s="388"/>
      <c r="F46" s="388"/>
      <c r="G46" s="388"/>
      <c r="H46" s="389"/>
      <c r="I46" s="19"/>
    </row>
    <row r="47" spans="1:9" ht="15.75" thickBot="1" x14ac:dyDescent="0.3">
      <c r="A47" s="267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257"/>
      <c r="B48" s="143">
        <f>A48</f>
        <v>0</v>
      </c>
      <c r="C48" s="88" t="s">
        <v>26</v>
      </c>
      <c r="D48" s="52" t="s">
        <v>57</v>
      </c>
      <c r="E48" s="89">
        <f>E32+1</f>
        <v>48</v>
      </c>
      <c r="F48" s="25"/>
      <c r="G48" s="26"/>
      <c r="H48" s="27"/>
      <c r="I48" s="19"/>
    </row>
    <row r="49" spans="1:9" x14ac:dyDescent="0.25">
      <c r="A49" s="133"/>
      <c r="B49" s="173"/>
      <c r="C49" s="102" t="s">
        <v>69</v>
      </c>
      <c r="D49" s="103" t="s">
        <v>64</v>
      </c>
      <c r="E49" s="104">
        <f>E48</f>
        <v>48</v>
      </c>
      <c r="F49" s="105"/>
      <c r="G49" s="106" t="s">
        <v>70</v>
      </c>
      <c r="H49" s="27"/>
      <c r="I49" s="19"/>
    </row>
    <row r="50" spans="1:9" x14ac:dyDescent="0.25">
      <c r="A50" s="133"/>
      <c r="B50" s="173"/>
      <c r="C50" s="92" t="s">
        <v>61</v>
      </c>
      <c r="D50" s="99" t="s">
        <v>68</v>
      </c>
      <c r="E50" s="101">
        <f>E48+1</f>
        <v>49</v>
      </c>
      <c r="F50" s="95"/>
      <c r="G50" s="96" t="s">
        <v>9</v>
      </c>
      <c r="H50" s="97"/>
      <c r="I50" s="19"/>
    </row>
    <row r="51" spans="1:9" x14ac:dyDescent="0.25">
      <c r="A51" s="133">
        <f>SUM(A12:A50)</f>
        <v>20986.300000000003</v>
      </c>
      <c r="B51" s="133">
        <f>SUM(B12:B50)</f>
        <v>16986.300000000003</v>
      </c>
      <c r="C51" s="91" t="s">
        <v>27</v>
      </c>
      <c r="D51" s="52" t="str">
        <f>D48</f>
        <v>TASTEPER</v>
      </c>
      <c r="E51" s="90">
        <f>E48+3</f>
        <v>51</v>
      </c>
      <c r="F51" s="29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7" t="s">
        <v>142</v>
      </c>
      <c r="I54" s="19"/>
    </row>
    <row r="55" spans="1:9" x14ac:dyDescent="0.25">
      <c r="A55" s="42"/>
      <c r="B55" s="126"/>
      <c r="C55" s="43" t="s">
        <v>122</v>
      </c>
      <c r="D55" s="107">
        <v>43140</v>
      </c>
      <c r="E55" s="44"/>
      <c r="F55" s="45" t="s">
        <v>109</v>
      </c>
      <c r="G55" s="18"/>
      <c r="H55" s="398"/>
      <c r="I55" s="19"/>
    </row>
    <row r="56" spans="1:9" x14ac:dyDescent="0.25">
      <c r="A56" s="42"/>
      <c r="B56" s="126"/>
      <c r="C56" s="33" t="s">
        <v>123</v>
      </c>
      <c r="D56" s="49">
        <v>43250</v>
      </c>
      <c r="E56" s="46"/>
      <c r="F56" s="2" t="s">
        <v>109</v>
      </c>
      <c r="G56" s="18"/>
      <c r="H56" s="399" t="e">
        <f>DATEDIF(E3,D58,"m")&amp;"mois"&amp;DATEDIF(E3,D58,"md")&amp;"jours"</f>
        <v>#NUM!</v>
      </c>
      <c r="I56" s="19"/>
    </row>
    <row r="57" spans="1:9" ht="15.75" thickBot="1" x14ac:dyDescent="0.3">
      <c r="A57" s="42"/>
      <c r="B57" s="126"/>
      <c r="C57" s="33" t="s">
        <v>31</v>
      </c>
      <c r="D57" s="176"/>
      <c r="E57" s="46"/>
      <c r="F57" s="2"/>
      <c r="G57" s="18"/>
      <c r="H57" s="400"/>
      <c r="I57" s="19"/>
    </row>
    <row r="58" spans="1:9" x14ac:dyDescent="0.25">
      <c r="A58" s="42"/>
      <c r="B58" s="126"/>
      <c r="C58" s="47" t="s">
        <v>32</v>
      </c>
      <c r="D58" s="184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1"/>
      <c r="D60" s="371"/>
      <c r="E60" s="371"/>
      <c r="F60" s="371"/>
      <c r="G60" s="371"/>
      <c r="H60" s="371"/>
      <c r="I60" s="372"/>
    </row>
    <row r="61" spans="1:9" x14ac:dyDescent="0.25">
      <c r="A61" s="34"/>
      <c r="B61" s="18"/>
      <c r="C61" s="373"/>
      <c r="D61" s="373"/>
      <c r="E61" s="373"/>
      <c r="F61" s="373"/>
      <c r="G61" s="373"/>
      <c r="H61" s="373"/>
      <c r="I61" s="374"/>
    </row>
    <row r="62" spans="1:9" x14ac:dyDescent="0.25">
      <c r="A62" s="34"/>
      <c r="B62" s="18"/>
      <c r="C62" s="373"/>
      <c r="D62" s="373"/>
      <c r="E62" s="373"/>
      <c r="F62" s="373"/>
      <c r="G62" s="373"/>
      <c r="H62" s="373"/>
      <c r="I62" s="374"/>
    </row>
    <row r="63" spans="1:9" x14ac:dyDescent="0.25">
      <c r="A63" s="34"/>
      <c r="B63" s="18"/>
      <c r="C63" s="373"/>
      <c r="D63" s="373"/>
      <c r="E63" s="373"/>
      <c r="F63" s="373"/>
      <c r="G63" s="373"/>
      <c r="H63" s="373"/>
      <c r="I63" s="374"/>
    </row>
    <row r="64" spans="1:9" x14ac:dyDescent="0.25">
      <c r="A64" s="34"/>
      <c r="B64" s="18"/>
      <c r="C64" s="373"/>
      <c r="D64" s="373"/>
      <c r="E64" s="373"/>
      <c r="F64" s="373"/>
      <c r="G64" s="373"/>
      <c r="H64" s="373"/>
      <c r="I64" s="374"/>
    </row>
    <row r="65" spans="1:9" x14ac:dyDescent="0.25">
      <c r="A65" s="44"/>
      <c r="B65" s="45"/>
      <c r="C65" s="375"/>
      <c r="D65" s="375"/>
      <c r="E65" s="375"/>
      <c r="F65" s="375"/>
      <c r="G65" s="375"/>
      <c r="H65" s="375"/>
      <c r="I65" s="376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H54:H55"/>
    <mergeCell ref="H56:H57"/>
    <mergeCell ref="C60:I65"/>
    <mergeCell ref="E4:F4"/>
    <mergeCell ref="A5:B5"/>
    <mergeCell ref="A6:B6"/>
    <mergeCell ref="C6:H6"/>
    <mergeCell ref="C27:H27"/>
    <mergeCell ref="C46:H46"/>
    <mergeCell ref="A1:G1"/>
    <mergeCell ref="A2:B2"/>
    <mergeCell ref="E2:F2"/>
    <mergeCell ref="H2:I2"/>
    <mergeCell ref="A3:B3"/>
    <mergeCell ref="E3:F3"/>
    <mergeCell ref="H3:I3"/>
  </mergeCells>
  <conditionalFormatting sqref="C52:G52">
    <cfRule type="expression" dxfId="3399" priority="70">
      <formula>$F52="réalisé"</formula>
    </cfRule>
  </conditionalFormatting>
  <conditionalFormatting sqref="C48:C51 E48:H51 E29:H45 C8:H26">
    <cfRule type="expression" dxfId="3398" priority="67">
      <formula>$G8="réalisé"</formula>
    </cfRule>
    <cfRule type="expression" dxfId="3397" priority="68">
      <formula>$G8="en cours"</formula>
    </cfRule>
    <cfRule type="expression" dxfId="3396" priority="69">
      <formula>$G8="non compris"</formula>
    </cfRule>
  </conditionalFormatting>
  <conditionalFormatting sqref="C29:C45">
    <cfRule type="expression" dxfId="3395" priority="64">
      <formula>$G29="réalisé"</formula>
    </cfRule>
    <cfRule type="expression" dxfId="3394" priority="65">
      <formula>$G29="en cours"</formula>
    </cfRule>
    <cfRule type="expression" dxfId="3393" priority="66">
      <formula>$G29="non compris"</formula>
    </cfRule>
  </conditionalFormatting>
  <conditionalFormatting sqref="C55:F58">
    <cfRule type="expression" dxfId="3392" priority="63">
      <formula>$F55="réalisé"</formula>
    </cfRule>
  </conditionalFormatting>
  <conditionalFormatting sqref="G9">
    <cfRule type="expression" dxfId="3391" priority="62">
      <formula>$G$10="réalisé"</formula>
    </cfRule>
  </conditionalFormatting>
  <conditionalFormatting sqref="G10:G14">
    <cfRule type="expression" dxfId="3390" priority="61">
      <formula>$G$15="réalisé"</formula>
    </cfRule>
  </conditionalFormatting>
  <conditionalFormatting sqref="G20:G21">
    <cfRule type="expression" dxfId="3389" priority="60">
      <formula>$G$22="réalisé"</formula>
    </cfRule>
  </conditionalFormatting>
  <conditionalFormatting sqref="G30">
    <cfRule type="expression" dxfId="3388" priority="59">
      <formula>$G$31="réalisé"</formula>
    </cfRule>
  </conditionalFormatting>
  <conditionalFormatting sqref="D29">
    <cfRule type="expression" dxfId="3387" priority="56">
      <formula>$G29="réalisé"</formula>
    </cfRule>
    <cfRule type="expression" dxfId="3386" priority="57">
      <formula>$G29="en cours"</formula>
    </cfRule>
    <cfRule type="expression" dxfId="3385" priority="58">
      <formula>$G29="non compris"</formula>
    </cfRule>
  </conditionalFormatting>
  <conditionalFormatting sqref="D31">
    <cfRule type="expression" dxfId="3384" priority="53">
      <formula>$G31="réalisé"</formula>
    </cfRule>
    <cfRule type="expression" dxfId="3383" priority="54">
      <formula>$G31="en cours"</formula>
    </cfRule>
    <cfRule type="expression" dxfId="3382" priority="55">
      <formula>$G31="non compris"</formula>
    </cfRule>
  </conditionalFormatting>
  <conditionalFormatting sqref="D33">
    <cfRule type="expression" dxfId="3381" priority="50">
      <formula>$G33="réalisé"</formula>
    </cfRule>
    <cfRule type="expression" dxfId="3380" priority="51">
      <formula>$G33="en cours"</formula>
    </cfRule>
    <cfRule type="expression" dxfId="3379" priority="52">
      <formula>$G33="non compris"</formula>
    </cfRule>
  </conditionalFormatting>
  <conditionalFormatting sqref="D35">
    <cfRule type="expression" dxfId="3378" priority="47">
      <formula>$G35="réalisé"</formula>
    </cfRule>
    <cfRule type="expression" dxfId="3377" priority="48">
      <formula>$G35="en cours"</formula>
    </cfRule>
    <cfRule type="expression" dxfId="3376" priority="49">
      <formula>$G35="non compris"</formula>
    </cfRule>
  </conditionalFormatting>
  <conditionalFormatting sqref="D37">
    <cfRule type="expression" dxfId="3375" priority="44">
      <formula>$G37="réalisé"</formula>
    </cfRule>
    <cfRule type="expression" dxfId="3374" priority="45">
      <formula>$G37="en cours"</formula>
    </cfRule>
    <cfRule type="expression" dxfId="3373" priority="46">
      <formula>$G37="non compris"</formula>
    </cfRule>
  </conditionalFormatting>
  <conditionalFormatting sqref="D39">
    <cfRule type="expression" dxfId="3372" priority="41">
      <formula>$G39="réalisé"</formula>
    </cfRule>
    <cfRule type="expression" dxfId="3371" priority="42">
      <formula>$G39="en cours"</formula>
    </cfRule>
    <cfRule type="expression" dxfId="3370" priority="43">
      <formula>$G39="non compris"</formula>
    </cfRule>
  </conditionalFormatting>
  <conditionalFormatting sqref="D41">
    <cfRule type="expression" dxfId="3369" priority="38">
      <formula>$G41="réalisé"</formula>
    </cfRule>
    <cfRule type="expression" dxfId="3368" priority="39">
      <formula>$G41="en cours"</formula>
    </cfRule>
    <cfRule type="expression" dxfId="3367" priority="40">
      <formula>$G41="non compris"</formula>
    </cfRule>
  </conditionalFormatting>
  <conditionalFormatting sqref="D44:D45">
    <cfRule type="expression" dxfId="3366" priority="35">
      <formula>$G44="réalisé"</formula>
    </cfRule>
    <cfRule type="expression" dxfId="3365" priority="36">
      <formula>$G44="en cours"</formula>
    </cfRule>
    <cfRule type="expression" dxfId="3364" priority="37">
      <formula>$G44="non compris"</formula>
    </cfRule>
  </conditionalFormatting>
  <conditionalFormatting sqref="D30">
    <cfRule type="expression" dxfId="3363" priority="32">
      <formula>$G30="réalisé"</formula>
    </cfRule>
    <cfRule type="expression" dxfId="3362" priority="33">
      <formula>$G30="en cours"</formula>
    </cfRule>
    <cfRule type="expression" dxfId="3361" priority="34">
      <formula>$G30="non compris"</formula>
    </cfRule>
  </conditionalFormatting>
  <conditionalFormatting sqref="D32">
    <cfRule type="expression" dxfId="3360" priority="29">
      <formula>$G32="réalisé"</formula>
    </cfRule>
    <cfRule type="expression" dxfId="3359" priority="30">
      <formula>$G32="en cours"</formula>
    </cfRule>
    <cfRule type="expression" dxfId="3358" priority="31">
      <formula>$G32="non compris"</formula>
    </cfRule>
  </conditionalFormatting>
  <conditionalFormatting sqref="D34">
    <cfRule type="expression" dxfId="3357" priority="26">
      <formula>$G34="réalisé"</formula>
    </cfRule>
    <cfRule type="expression" dxfId="3356" priority="27">
      <formula>$G34="en cours"</formula>
    </cfRule>
    <cfRule type="expression" dxfId="3355" priority="28">
      <formula>$G34="non compris"</formula>
    </cfRule>
  </conditionalFormatting>
  <conditionalFormatting sqref="D36">
    <cfRule type="expression" dxfId="3354" priority="23">
      <formula>$G36="réalisé"</formula>
    </cfRule>
    <cfRule type="expression" dxfId="3353" priority="24">
      <formula>$G36="en cours"</formula>
    </cfRule>
    <cfRule type="expression" dxfId="3352" priority="25">
      <formula>$G36="non compris"</formula>
    </cfRule>
  </conditionalFormatting>
  <conditionalFormatting sqref="D38">
    <cfRule type="expression" dxfId="3351" priority="20">
      <formula>$G38="réalisé"</formula>
    </cfRule>
    <cfRule type="expression" dxfId="3350" priority="21">
      <formula>$G38="en cours"</formula>
    </cfRule>
    <cfRule type="expression" dxfId="3349" priority="22">
      <formula>$G38="non compris"</formula>
    </cfRule>
  </conditionalFormatting>
  <conditionalFormatting sqref="D40">
    <cfRule type="expression" dxfId="3348" priority="17">
      <formula>$G40="réalisé"</formula>
    </cfRule>
    <cfRule type="expression" dxfId="3347" priority="18">
      <formula>$G40="en cours"</formula>
    </cfRule>
    <cfRule type="expression" dxfId="3346" priority="19">
      <formula>$G40="non compris"</formula>
    </cfRule>
  </conditionalFormatting>
  <conditionalFormatting sqref="D42:D43">
    <cfRule type="expression" dxfId="3345" priority="14">
      <formula>$G42="réalisé"</formula>
    </cfRule>
    <cfRule type="expression" dxfId="3344" priority="15">
      <formula>$G42="en cours"</formula>
    </cfRule>
    <cfRule type="expression" dxfId="3343" priority="16">
      <formula>$G42="non compris"</formula>
    </cfRule>
  </conditionalFormatting>
  <conditionalFormatting sqref="D50">
    <cfRule type="expression" dxfId="3342" priority="11">
      <formula>$G50="réalisé"</formula>
    </cfRule>
    <cfRule type="expression" dxfId="3341" priority="12">
      <formula>$G50="en cours"</formula>
    </cfRule>
    <cfRule type="expression" dxfId="3340" priority="13">
      <formula>$G50="non compris"</formula>
    </cfRule>
  </conditionalFormatting>
  <conditionalFormatting sqref="D49">
    <cfRule type="expression" dxfId="3339" priority="8">
      <formula>$G49="réalisé"</formula>
    </cfRule>
    <cfRule type="expression" dxfId="3338" priority="9">
      <formula>$G49="en cours"</formula>
    </cfRule>
    <cfRule type="expression" dxfId="3337" priority="10">
      <formula>$G49="non compris"</formula>
    </cfRule>
  </conditionalFormatting>
  <conditionalFormatting sqref="D48">
    <cfRule type="expression" dxfId="3336" priority="5">
      <formula>$G48="réalisé"</formula>
    </cfRule>
    <cfRule type="expression" dxfId="3335" priority="6">
      <formula>$G48="en cours"</formula>
    </cfRule>
    <cfRule type="expression" dxfId="3334" priority="7">
      <formula>$G48="non compris"</formula>
    </cfRule>
  </conditionalFormatting>
  <conditionalFormatting sqref="D51">
    <cfRule type="expression" dxfId="3333" priority="2">
      <formula>$G51="réalisé"</formula>
    </cfRule>
    <cfRule type="expression" dxfId="3332" priority="3">
      <formula>$G51="en cours"</formula>
    </cfRule>
    <cfRule type="expression" dxfId="3331" priority="4">
      <formula>$G51="non compris"</formula>
    </cfRule>
  </conditionalFormatting>
  <conditionalFormatting sqref="D8:D26">
    <cfRule type="expression" dxfId="3330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82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00B050"/>
    <pageSetUpPr fitToPage="1"/>
  </sheetPr>
  <dimension ref="A1:I74"/>
  <sheetViews>
    <sheetView topLeftCell="A10" zoomScaleNormal="100" workbookViewId="0">
      <selection activeCell="K22" sqref="K22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7" t="s">
        <v>0</v>
      </c>
      <c r="B1" s="378"/>
      <c r="C1" s="378"/>
      <c r="D1" s="378"/>
      <c r="E1" s="378"/>
      <c r="F1" s="378"/>
      <c r="G1" s="378"/>
      <c r="H1" s="1" t="s">
        <v>1</v>
      </c>
      <c r="I1" s="3">
        <f ca="1">INT(MOD(INT((LISTE!D1-2)/7)+0.6,52+5/28))+1</f>
        <v>41</v>
      </c>
    </row>
    <row r="2" spans="1:9" x14ac:dyDescent="0.25">
      <c r="A2" s="390" t="s">
        <v>2</v>
      </c>
      <c r="B2" s="391"/>
      <c r="C2" s="70" t="str">
        <f ca="1">MID(CELL("nomfichier",A1),FIND("]",CELL("nomfichier",A1),1)+1,30)</f>
        <v>BECK-HUMMEL</v>
      </c>
      <c r="D2" s="4" t="s">
        <v>72</v>
      </c>
      <c r="E2" s="379"/>
      <c r="F2" s="379"/>
      <c r="G2" s="5"/>
      <c r="H2" s="380" t="s">
        <v>143</v>
      </c>
      <c r="I2" s="381"/>
    </row>
    <row r="3" spans="1:9" ht="15.75" x14ac:dyDescent="0.25">
      <c r="A3" s="392" t="s">
        <v>106</v>
      </c>
      <c r="B3" s="384"/>
      <c r="C3" s="6" t="s">
        <v>274</v>
      </c>
      <c r="D3" s="7" t="s">
        <v>3</v>
      </c>
      <c r="E3" s="382"/>
      <c r="F3" s="383"/>
      <c r="G3" s="8"/>
      <c r="H3" s="384" t="str">
        <f ca="1">DATEDIF(E3,TODAY(),"m")&amp;"mois"&amp;-DATEDIF(E3,TODAY(),"md")&amp;"jours"</f>
        <v>1425mois-12jours</v>
      </c>
      <c r="I3" s="385"/>
    </row>
    <row r="4" spans="1:9" ht="18.75" x14ac:dyDescent="0.25">
      <c r="A4" s="69" t="s">
        <v>117</v>
      </c>
      <c r="B4" s="129"/>
      <c r="C4" s="9"/>
      <c r="D4" s="10" t="s">
        <v>4</v>
      </c>
      <c r="E4" s="386">
        <f>E3+60</f>
        <v>60</v>
      </c>
      <c r="F4" s="386"/>
      <c r="G4" s="11"/>
      <c r="H4" s="12"/>
      <c r="I4" s="13"/>
    </row>
    <row r="5" spans="1:9" x14ac:dyDescent="0.25">
      <c r="A5" s="393" t="s">
        <v>76</v>
      </c>
      <c r="B5" s="394"/>
      <c r="C5" s="15"/>
      <c r="D5" s="16"/>
      <c r="E5" s="15"/>
      <c r="F5" s="15"/>
      <c r="G5" s="17"/>
      <c r="H5" s="18"/>
      <c r="I5" s="19"/>
    </row>
    <row r="6" spans="1:9" ht="18.75" x14ac:dyDescent="0.3">
      <c r="A6" s="395" t="s">
        <v>75</v>
      </c>
      <c r="B6" s="396"/>
      <c r="C6" s="387" t="s">
        <v>145</v>
      </c>
      <c r="D6" s="388"/>
      <c r="E6" s="388"/>
      <c r="F6" s="388"/>
      <c r="G6" s="388"/>
      <c r="H6" s="389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287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22"/>
      <c r="B8" s="200"/>
      <c r="C8" s="28" t="s">
        <v>124</v>
      </c>
      <c r="D8" s="52" t="s">
        <v>209</v>
      </c>
      <c r="E8" s="180">
        <v>41</v>
      </c>
      <c r="F8" s="25"/>
      <c r="G8" s="26" t="s">
        <v>36</v>
      </c>
      <c r="H8" s="27"/>
      <c r="I8" s="19"/>
    </row>
    <row r="9" spans="1:9" x14ac:dyDescent="0.25">
      <c r="A9" s="122"/>
      <c r="B9" s="130"/>
      <c r="C9" s="28" t="s">
        <v>131</v>
      </c>
      <c r="D9" s="53" t="str">
        <f>D8</f>
        <v>BATITOUT 67</v>
      </c>
      <c r="E9" s="181">
        <f>E8+1</f>
        <v>42</v>
      </c>
      <c r="F9" s="29"/>
      <c r="G9" s="30" t="s">
        <v>9</v>
      </c>
      <c r="H9" s="27"/>
      <c r="I9" s="19"/>
    </row>
    <row r="10" spans="1:9" ht="15" customHeight="1" x14ac:dyDescent="0.25">
      <c r="A10" s="131"/>
      <c r="B10" s="182"/>
      <c r="C10" s="28" t="s">
        <v>132</v>
      </c>
      <c r="D10" s="52" t="str">
        <f>D9</f>
        <v>BATITOUT 67</v>
      </c>
      <c r="E10" s="180">
        <f>E9</f>
        <v>42</v>
      </c>
      <c r="F10" s="31"/>
      <c r="G10" s="30" t="s">
        <v>9</v>
      </c>
      <c r="H10" s="27"/>
      <c r="I10" s="19"/>
    </row>
    <row r="11" spans="1:9" ht="15" customHeight="1" x14ac:dyDescent="0.25">
      <c r="A11" s="131"/>
      <c r="B11" s="132"/>
      <c r="C11" s="28" t="s">
        <v>133</v>
      </c>
      <c r="D11" s="54" t="str">
        <f>D8</f>
        <v>BATITOUT 67</v>
      </c>
      <c r="E11" s="180">
        <f>E10+1</f>
        <v>43</v>
      </c>
      <c r="F11" s="31"/>
      <c r="G11" s="30" t="s">
        <v>9</v>
      </c>
      <c r="H11" s="27"/>
      <c r="I11" s="19"/>
    </row>
    <row r="12" spans="1:9" ht="15" customHeight="1" x14ac:dyDescent="0.25">
      <c r="A12" s="144">
        <v>13261.12</v>
      </c>
      <c r="B12" s="143">
        <f>A12</f>
        <v>13261.12</v>
      </c>
      <c r="C12" s="28" t="s">
        <v>134</v>
      </c>
      <c r="D12" s="54" t="str">
        <f t="shared" ref="D12:D14" si="0">D9</f>
        <v>BATITOUT 67</v>
      </c>
      <c r="E12" s="180">
        <f>E11+2</f>
        <v>45</v>
      </c>
      <c r="F12" s="31"/>
      <c r="G12" s="30" t="s">
        <v>9</v>
      </c>
      <c r="H12" s="27"/>
      <c r="I12" s="19"/>
    </row>
    <row r="13" spans="1:9" ht="15" customHeight="1" x14ac:dyDescent="0.25">
      <c r="A13" s="131"/>
      <c r="B13" s="132"/>
      <c r="C13" s="28" t="s">
        <v>135</v>
      </c>
      <c r="D13" s="54" t="str">
        <f t="shared" si="0"/>
        <v>BATITOUT 67</v>
      </c>
      <c r="E13" s="180">
        <f>E12+1</f>
        <v>46</v>
      </c>
      <c r="F13" s="31"/>
      <c r="G13" s="30" t="s">
        <v>9</v>
      </c>
      <c r="H13" s="27"/>
      <c r="I13" s="19"/>
    </row>
    <row r="14" spans="1:9" ht="15" customHeight="1" x14ac:dyDescent="0.25">
      <c r="A14" s="131"/>
      <c r="B14" s="132"/>
      <c r="C14" s="28" t="s">
        <v>136</v>
      </c>
      <c r="D14" s="54" t="str">
        <f t="shared" si="0"/>
        <v>BATITOUT 67</v>
      </c>
      <c r="E14" s="180">
        <f>E13</f>
        <v>46</v>
      </c>
      <c r="F14" s="31"/>
      <c r="G14" s="30" t="s">
        <v>9</v>
      </c>
      <c r="H14" s="27"/>
      <c r="I14" s="19"/>
    </row>
    <row r="15" spans="1:9" x14ac:dyDescent="0.25">
      <c r="A15" s="131"/>
      <c r="B15" s="132"/>
      <c r="C15" s="28" t="s">
        <v>62</v>
      </c>
      <c r="D15" s="53" t="s">
        <v>64</v>
      </c>
      <c r="E15" s="24">
        <f>E10+1</f>
        <v>43</v>
      </c>
      <c r="F15" s="29"/>
      <c r="G15" s="30" t="s">
        <v>70</v>
      </c>
      <c r="H15" s="27"/>
      <c r="I15" s="19"/>
    </row>
    <row r="16" spans="1:9" x14ac:dyDescent="0.25">
      <c r="A16" s="131"/>
      <c r="B16" s="132"/>
      <c r="C16" s="28" t="s">
        <v>10</v>
      </c>
      <c r="D16" s="52" t="s">
        <v>64</v>
      </c>
      <c r="E16" s="24">
        <f>E15+1</f>
        <v>44</v>
      </c>
      <c r="F16" s="29"/>
      <c r="G16" s="30" t="s">
        <v>70</v>
      </c>
      <c r="H16" s="27"/>
      <c r="I16" s="19"/>
    </row>
    <row r="17" spans="1:9" x14ac:dyDescent="0.25">
      <c r="A17" s="131"/>
      <c r="B17" s="132"/>
      <c r="C17" s="28" t="s">
        <v>11</v>
      </c>
      <c r="D17" s="53" t="s">
        <v>189</v>
      </c>
      <c r="E17" s="24">
        <f>E13+1</f>
        <v>47</v>
      </c>
      <c r="F17" s="29"/>
      <c r="G17" s="30" t="s">
        <v>9</v>
      </c>
      <c r="H17" s="27"/>
      <c r="I17" s="19"/>
    </row>
    <row r="18" spans="1:9" x14ac:dyDescent="0.25">
      <c r="A18" s="144">
        <v>773.86</v>
      </c>
      <c r="B18" s="143">
        <f>A18</f>
        <v>773.86</v>
      </c>
      <c r="C18" s="28" t="s">
        <v>12</v>
      </c>
      <c r="D18" s="52" t="s">
        <v>40</v>
      </c>
      <c r="E18" s="180">
        <f>IF(E13="","",MOD(E17+1,52))</f>
        <v>48</v>
      </c>
      <c r="F18" s="29"/>
      <c r="G18" s="30" t="s">
        <v>9</v>
      </c>
      <c r="H18" s="27"/>
      <c r="I18" s="19"/>
    </row>
    <row r="19" spans="1:9" x14ac:dyDescent="0.25">
      <c r="A19" s="131"/>
      <c r="B19" s="132"/>
      <c r="C19" s="28" t="s">
        <v>73</v>
      </c>
      <c r="D19" s="53" t="str">
        <f>D10</f>
        <v>BATITOUT 67</v>
      </c>
      <c r="E19" s="24">
        <f>IF(E18="","",MOD(E18+1,52))</f>
        <v>49</v>
      </c>
      <c r="F19" s="29"/>
      <c r="G19" s="30" t="s">
        <v>9</v>
      </c>
      <c r="H19" s="27"/>
      <c r="I19" s="19"/>
    </row>
    <row r="20" spans="1:9" x14ac:dyDescent="0.25">
      <c r="A20" s="142"/>
      <c r="B20" s="143">
        <f>A20</f>
        <v>0</v>
      </c>
      <c r="C20" s="28" t="s">
        <v>59</v>
      </c>
      <c r="D20" s="52" t="s">
        <v>64</v>
      </c>
      <c r="E20" s="24">
        <f>IF(E19="","",MOD(E19+1,52))</f>
        <v>50</v>
      </c>
      <c r="F20" s="29"/>
      <c r="G20" s="30" t="s">
        <v>70</v>
      </c>
      <c r="H20" s="27"/>
      <c r="I20" s="19"/>
    </row>
    <row r="21" spans="1:9" x14ac:dyDescent="0.25">
      <c r="A21" s="142"/>
      <c r="B21" s="143">
        <f>A21</f>
        <v>0</v>
      </c>
      <c r="C21" s="28" t="s">
        <v>60</v>
      </c>
      <c r="D21" s="54" t="s">
        <v>64</v>
      </c>
      <c r="E21" s="24">
        <f>E20</f>
        <v>50</v>
      </c>
      <c r="F21" s="29"/>
      <c r="G21" s="30" t="s">
        <v>70</v>
      </c>
      <c r="H21" s="50"/>
      <c r="I21" s="19"/>
    </row>
    <row r="22" spans="1:9" x14ac:dyDescent="0.25">
      <c r="A22" s="131"/>
      <c r="B22" s="132"/>
      <c r="C22" s="185" t="s">
        <v>13</v>
      </c>
      <c r="D22" s="186" t="s">
        <v>68</v>
      </c>
      <c r="E22" s="187">
        <f>E20</f>
        <v>50</v>
      </c>
      <c r="F22" s="188"/>
      <c r="G22" s="189" t="s">
        <v>9</v>
      </c>
      <c r="H22" s="190"/>
      <c r="I22" s="19"/>
    </row>
    <row r="23" spans="1:9" x14ac:dyDescent="0.25">
      <c r="A23" s="143"/>
      <c r="B23" s="143">
        <f>A23</f>
        <v>0</v>
      </c>
      <c r="C23" s="32" t="s">
        <v>138</v>
      </c>
      <c r="D23" s="52" t="s">
        <v>64</v>
      </c>
      <c r="E23" s="24">
        <f>IF(E20="","",MOD(E20+2,52))</f>
        <v>0</v>
      </c>
      <c r="F23" s="29"/>
      <c r="G23" s="30" t="s">
        <v>70</v>
      </c>
      <c r="H23" s="27"/>
      <c r="I23" s="19"/>
    </row>
    <row r="24" spans="1:9" x14ac:dyDescent="0.25">
      <c r="A24" s="131"/>
      <c r="B24" s="132"/>
      <c r="C24" s="28" t="s">
        <v>14</v>
      </c>
      <c r="D24" s="53" t="str">
        <f>D17</f>
        <v>EURO ECHAFAUDAGE</v>
      </c>
      <c r="E24" s="24">
        <f>IF(E20="","",MOD(E20+2,52))</f>
        <v>0</v>
      </c>
      <c r="F24" s="29"/>
      <c r="G24" s="30" t="s">
        <v>9</v>
      </c>
      <c r="H24" s="27"/>
      <c r="I24" s="19"/>
    </row>
    <row r="25" spans="1:9" x14ac:dyDescent="0.25">
      <c r="A25" s="143"/>
      <c r="B25" s="143">
        <f>A25</f>
        <v>0</v>
      </c>
      <c r="C25" s="183" t="s">
        <v>137</v>
      </c>
      <c r="D25" s="53" t="s">
        <v>64</v>
      </c>
      <c r="E25" s="24">
        <f>E23</f>
        <v>0</v>
      </c>
      <c r="F25" s="29"/>
      <c r="G25" s="72" t="s">
        <v>70</v>
      </c>
      <c r="H25" s="27"/>
      <c r="I25" s="19"/>
    </row>
    <row r="26" spans="1:9" x14ac:dyDescent="0.25">
      <c r="A26" s="131"/>
      <c r="B26" s="132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145"/>
      <c r="B27" s="146"/>
      <c r="C27" s="387" t="s">
        <v>144</v>
      </c>
      <c r="D27" s="388"/>
      <c r="E27" s="388"/>
      <c r="F27" s="388"/>
      <c r="G27" s="388"/>
      <c r="H27" s="389"/>
      <c r="I27" s="19"/>
    </row>
    <row r="28" spans="1:9" ht="15.75" thickBot="1" x14ac:dyDescent="0.3">
      <c r="A28" s="131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43"/>
      <c r="B29" s="143">
        <f>A29</f>
        <v>0</v>
      </c>
      <c r="C29" s="78" t="s">
        <v>66</v>
      </c>
      <c r="D29" s="52" t="s">
        <v>64</v>
      </c>
      <c r="E29" s="79">
        <f>IF(E24="","",MOD(E24+1,52))</f>
        <v>1</v>
      </c>
      <c r="F29" s="25"/>
      <c r="G29" s="26" t="s">
        <v>70</v>
      </c>
      <c r="H29" s="27"/>
      <c r="I29" s="19"/>
    </row>
    <row r="30" spans="1:9" x14ac:dyDescent="0.25">
      <c r="A30" s="144"/>
      <c r="B30" s="143">
        <f>A30</f>
        <v>0</v>
      </c>
      <c r="C30" s="28" t="s">
        <v>67</v>
      </c>
      <c r="D30" s="53" t="s">
        <v>47</v>
      </c>
      <c r="E30" s="24">
        <f>IF(E29="","",MOD(E29+1,52))</f>
        <v>2</v>
      </c>
      <c r="F30" s="29"/>
      <c r="G30" s="30"/>
      <c r="H30" s="27"/>
      <c r="I30" s="19"/>
    </row>
    <row r="31" spans="1:9" x14ac:dyDescent="0.25">
      <c r="A31" s="131"/>
      <c r="B31" s="132"/>
      <c r="C31" s="62" t="s">
        <v>16</v>
      </c>
      <c r="D31" s="52" t="str">
        <f>D29</f>
        <v>A CHARGE CLIENT</v>
      </c>
      <c r="E31" s="24">
        <f>IF(E30="","",MOD(E30+2,52))</f>
        <v>4</v>
      </c>
      <c r="F31" s="29"/>
      <c r="G31" s="30"/>
      <c r="H31" s="27"/>
      <c r="I31" s="19"/>
    </row>
    <row r="32" spans="1:9" x14ac:dyDescent="0.25">
      <c r="A32" s="144"/>
      <c r="B32" s="143">
        <f>A32</f>
        <v>0</v>
      </c>
      <c r="C32" s="80" t="s">
        <v>17</v>
      </c>
      <c r="D32" s="53" t="s">
        <v>50</v>
      </c>
      <c r="E32" s="24">
        <f>IF(E30="","",MOD(E30+2,52))</f>
        <v>4</v>
      </c>
      <c r="F32" s="29"/>
      <c r="G32" s="30"/>
      <c r="H32" s="27"/>
      <c r="I32" s="19"/>
    </row>
    <row r="33" spans="1:9" x14ac:dyDescent="0.25">
      <c r="A33" s="143"/>
      <c r="B33" s="143"/>
      <c r="C33" s="62" t="s">
        <v>140</v>
      </c>
      <c r="D33" s="52" t="s">
        <v>64</v>
      </c>
      <c r="E33" s="24">
        <f>IF(E32="","",MOD(E32+1,52))</f>
        <v>5</v>
      </c>
      <c r="F33" s="29"/>
      <c r="G33" s="30" t="s">
        <v>70</v>
      </c>
      <c r="H33" s="27"/>
      <c r="I33" s="19"/>
    </row>
    <row r="34" spans="1:9" x14ac:dyDescent="0.25">
      <c r="A34" s="143"/>
      <c r="B34" s="143">
        <f>A34</f>
        <v>0</v>
      </c>
      <c r="C34" s="28" t="s">
        <v>141</v>
      </c>
      <c r="D34" s="53" t="s">
        <v>64</v>
      </c>
      <c r="E34" s="24">
        <f>IF(E32="","",MOD(E32+1,52))</f>
        <v>5</v>
      </c>
      <c r="F34" s="29"/>
      <c r="G34" s="30" t="s">
        <v>70</v>
      </c>
      <c r="H34" s="27"/>
      <c r="I34" s="19"/>
    </row>
    <row r="35" spans="1:9" x14ac:dyDescent="0.25">
      <c r="A35" s="131"/>
      <c r="B35" s="13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144"/>
      <c r="B36" s="143">
        <f>A36</f>
        <v>0</v>
      </c>
      <c r="C36" s="28" t="s">
        <v>19</v>
      </c>
      <c r="D36" s="53" t="s">
        <v>206</v>
      </c>
      <c r="E36" s="24">
        <f>IF(E34="","",MOD(E34+1,52))</f>
        <v>6</v>
      </c>
      <c r="F36" s="29"/>
      <c r="G36" s="30"/>
      <c r="H36" s="27"/>
      <c r="I36" s="19"/>
    </row>
    <row r="37" spans="1:9" x14ac:dyDescent="0.25">
      <c r="A37" s="131"/>
      <c r="B37" s="132"/>
      <c r="C37" s="28" t="s">
        <v>20</v>
      </c>
      <c r="D37" s="52" t="str">
        <f>D30</f>
        <v>SOARES</v>
      </c>
      <c r="E37" s="24">
        <f>IF(E36="","",MOD(E36+1,52))</f>
        <v>7</v>
      </c>
      <c r="F37" s="29"/>
      <c r="G37" s="30"/>
      <c r="H37" s="27"/>
      <c r="I37" s="19"/>
    </row>
    <row r="38" spans="1:9" x14ac:dyDescent="0.25">
      <c r="A38" s="131"/>
      <c r="B38" s="132"/>
      <c r="C38" s="28" t="s">
        <v>21</v>
      </c>
      <c r="D38" s="53" t="str">
        <f>D29</f>
        <v>A CHARGE CLIENT</v>
      </c>
      <c r="E38" s="24">
        <f>IF(E37="","",MOD(E37+1,52))</f>
        <v>8</v>
      </c>
      <c r="F38" s="29"/>
      <c r="G38" s="30" t="s">
        <v>70</v>
      </c>
      <c r="H38" s="27"/>
      <c r="I38" s="19"/>
    </row>
    <row r="39" spans="1:9" x14ac:dyDescent="0.25">
      <c r="A39" s="131"/>
      <c r="B39" s="132"/>
      <c r="C39" s="28" t="s">
        <v>22</v>
      </c>
      <c r="D39" s="52" t="str">
        <f>D32</f>
        <v>HERTFELDER</v>
      </c>
      <c r="E39" s="24">
        <f>IF(E37="","",MOD(E37+1,52))</f>
        <v>8</v>
      </c>
      <c r="F39" s="29"/>
      <c r="G39" s="30"/>
      <c r="H39" s="27"/>
      <c r="I39" s="19"/>
    </row>
    <row r="40" spans="1:9" x14ac:dyDescent="0.25">
      <c r="A40" s="131"/>
      <c r="B40" s="132"/>
      <c r="C40" s="28" t="s">
        <v>23</v>
      </c>
      <c r="D40" s="53" t="s">
        <v>64</v>
      </c>
      <c r="E40" s="24">
        <f>E36+4</f>
        <v>10</v>
      </c>
      <c r="F40" s="29"/>
      <c r="G40" s="30" t="s">
        <v>70</v>
      </c>
      <c r="H40" s="27"/>
      <c r="I40" s="19"/>
    </row>
    <row r="41" spans="1:9" x14ac:dyDescent="0.25">
      <c r="A41" s="131"/>
      <c r="B41" s="132"/>
      <c r="C41" s="28" t="s">
        <v>24</v>
      </c>
      <c r="D41" s="52" t="s">
        <v>64</v>
      </c>
      <c r="E41" s="24">
        <f>E39+1</f>
        <v>9</v>
      </c>
      <c r="F41" s="29"/>
      <c r="G41" s="30" t="s">
        <v>70</v>
      </c>
      <c r="H41" s="27"/>
      <c r="I41" s="19"/>
    </row>
    <row r="42" spans="1:9" x14ac:dyDescent="0.25">
      <c r="A42" s="131"/>
      <c r="B42" s="132"/>
      <c r="C42" s="28" t="s">
        <v>25</v>
      </c>
      <c r="D42" s="53" t="str">
        <f>D34</f>
        <v>A CHARGE CLIENT</v>
      </c>
      <c r="E42" s="24">
        <f>IF(E40="","",MOD(E40+2,52))</f>
        <v>12</v>
      </c>
      <c r="F42" s="29"/>
      <c r="G42" s="30"/>
      <c r="H42" s="27"/>
      <c r="I42" s="19"/>
    </row>
    <row r="43" spans="1:9" x14ac:dyDescent="0.25">
      <c r="A43" s="143"/>
      <c r="B43" s="143">
        <f>A43</f>
        <v>0</v>
      </c>
      <c r="C43" s="81" t="s">
        <v>147</v>
      </c>
      <c r="D43" s="52" t="s">
        <v>64</v>
      </c>
      <c r="E43" s="82">
        <f>E44</f>
        <v>12</v>
      </c>
      <c r="F43" s="83"/>
      <c r="G43" s="72" t="s">
        <v>70</v>
      </c>
      <c r="H43" s="27"/>
      <c r="I43" s="19"/>
    </row>
    <row r="44" spans="1:9" x14ac:dyDescent="0.25">
      <c r="A44" s="144"/>
      <c r="B44" s="143">
        <f>A44</f>
        <v>0</v>
      </c>
      <c r="C44" s="81" t="s">
        <v>139</v>
      </c>
      <c r="D44" s="193" t="s">
        <v>54</v>
      </c>
      <c r="E44" s="82">
        <f>IF(E40="","",MOD(E40+2,52))</f>
        <v>12</v>
      </c>
      <c r="F44" s="83"/>
      <c r="G44" s="72"/>
      <c r="H44" s="194"/>
      <c r="I44" s="19"/>
    </row>
    <row r="45" spans="1:9" x14ac:dyDescent="0.25">
      <c r="A45" s="131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145"/>
      <c r="B46" s="146"/>
      <c r="C46" s="387" t="s">
        <v>146</v>
      </c>
      <c r="D46" s="388"/>
      <c r="E46" s="388"/>
      <c r="F46" s="388"/>
      <c r="G46" s="388"/>
      <c r="H46" s="389"/>
      <c r="I46" s="19"/>
    </row>
    <row r="47" spans="1:9" ht="15.75" thickBot="1" x14ac:dyDescent="0.3">
      <c r="A47" s="131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144"/>
      <c r="B48" s="143">
        <f>A48</f>
        <v>0</v>
      </c>
      <c r="C48" s="88" t="s">
        <v>26</v>
      </c>
      <c r="D48" s="52" t="s">
        <v>57</v>
      </c>
      <c r="E48" s="89">
        <f>E32+1</f>
        <v>5</v>
      </c>
      <c r="F48" s="25"/>
      <c r="G48" s="26"/>
      <c r="H48" s="27"/>
      <c r="I48" s="19"/>
    </row>
    <row r="49" spans="1:9" x14ac:dyDescent="0.25">
      <c r="A49" s="133"/>
      <c r="B49" s="173"/>
      <c r="C49" s="102" t="s">
        <v>69</v>
      </c>
      <c r="D49" s="103" t="s">
        <v>64</v>
      </c>
      <c r="E49" s="104">
        <f>E48</f>
        <v>5</v>
      </c>
      <c r="F49" s="105"/>
      <c r="G49" s="106" t="s">
        <v>70</v>
      </c>
      <c r="H49" s="27"/>
      <c r="I49" s="19"/>
    </row>
    <row r="50" spans="1:9" x14ac:dyDescent="0.25">
      <c r="A50" s="133"/>
      <c r="B50" s="173"/>
      <c r="C50" s="92" t="s">
        <v>61</v>
      </c>
      <c r="D50" s="99" t="s">
        <v>68</v>
      </c>
      <c r="E50" s="101">
        <f>E48+1</f>
        <v>6</v>
      </c>
      <c r="F50" s="95"/>
      <c r="G50" s="96" t="s">
        <v>9</v>
      </c>
      <c r="H50" s="97"/>
      <c r="I50" s="19"/>
    </row>
    <row r="51" spans="1:9" x14ac:dyDescent="0.25">
      <c r="A51" s="133">
        <f>SUM(A12:A50)</f>
        <v>14034.980000000001</v>
      </c>
      <c r="B51" s="173"/>
      <c r="C51" s="91" t="s">
        <v>27</v>
      </c>
      <c r="D51" s="52" t="s">
        <v>64</v>
      </c>
      <c r="E51" s="90">
        <f>E48+3</f>
        <v>8</v>
      </c>
      <c r="F51" s="29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7" t="s">
        <v>142</v>
      </c>
      <c r="I54" s="19"/>
    </row>
    <row r="55" spans="1:9" x14ac:dyDescent="0.25">
      <c r="A55" s="42"/>
      <c r="B55" s="126"/>
      <c r="C55" s="43" t="s">
        <v>122</v>
      </c>
      <c r="D55" s="107"/>
      <c r="E55" s="44"/>
      <c r="F55" s="45"/>
      <c r="G55" s="18"/>
      <c r="H55" s="398"/>
      <c r="I55" s="19"/>
    </row>
    <row r="56" spans="1:9" x14ac:dyDescent="0.25">
      <c r="A56" s="42"/>
      <c r="B56" s="126"/>
      <c r="C56" s="33" t="s">
        <v>123</v>
      </c>
      <c r="D56" s="49">
        <v>43358</v>
      </c>
      <c r="E56" s="46"/>
      <c r="F56" s="2" t="s">
        <v>36</v>
      </c>
      <c r="G56" s="18"/>
      <c r="H56" s="399" t="str">
        <f>DATEDIF(E3,D58,"m")&amp;"mois"&amp;DATEDIF(E3,D58,"md")&amp;"jours"</f>
        <v>0mois0jours</v>
      </c>
      <c r="I56" s="19"/>
    </row>
    <row r="57" spans="1:9" ht="15.75" thickBot="1" x14ac:dyDescent="0.3">
      <c r="A57" s="42"/>
      <c r="B57" s="126"/>
      <c r="C57" s="33" t="s">
        <v>31</v>
      </c>
      <c r="D57" s="176"/>
      <c r="E57" s="46"/>
      <c r="F57" s="2"/>
      <c r="G57" s="18"/>
      <c r="H57" s="400"/>
      <c r="I57" s="19"/>
    </row>
    <row r="58" spans="1:9" x14ac:dyDescent="0.25">
      <c r="A58" s="42"/>
      <c r="B58" s="126"/>
      <c r="C58" s="47" t="s">
        <v>32</v>
      </c>
      <c r="D58" s="184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1"/>
      <c r="D60" s="371"/>
      <c r="E60" s="371"/>
      <c r="F60" s="371"/>
      <c r="G60" s="371"/>
      <c r="H60" s="371"/>
      <c r="I60" s="372"/>
    </row>
    <row r="61" spans="1:9" x14ac:dyDescent="0.25">
      <c r="A61" s="34"/>
      <c r="B61" s="18"/>
      <c r="C61" s="373"/>
      <c r="D61" s="373"/>
      <c r="E61" s="373"/>
      <c r="F61" s="373"/>
      <c r="G61" s="373"/>
      <c r="H61" s="373"/>
      <c r="I61" s="374"/>
    </row>
    <row r="62" spans="1:9" x14ac:dyDescent="0.25">
      <c r="A62" s="34"/>
      <c r="B62" s="18"/>
      <c r="C62" s="373"/>
      <c r="D62" s="373"/>
      <c r="E62" s="373"/>
      <c r="F62" s="373"/>
      <c r="G62" s="373"/>
      <c r="H62" s="373"/>
      <c r="I62" s="374"/>
    </row>
    <row r="63" spans="1:9" x14ac:dyDescent="0.25">
      <c r="A63" s="34"/>
      <c r="B63" s="18"/>
      <c r="C63" s="373"/>
      <c r="D63" s="373"/>
      <c r="E63" s="373"/>
      <c r="F63" s="373"/>
      <c r="G63" s="373"/>
      <c r="H63" s="373"/>
      <c r="I63" s="374"/>
    </row>
    <row r="64" spans="1:9" x14ac:dyDescent="0.25">
      <c r="A64" s="34"/>
      <c r="B64" s="18"/>
      <c r="C64" s="373"/>
      <c r="D64" s="373"/>
      <c r="E64" s="373"/>
      <c r="F64" s="373"/>
      <c r="G64" s="373"/>
      <c r="H64" s="373"/>
      <c r="I64" s="374"/>
    </row>
    <row r="65" spans="1:9" x14ac:dyDescent="0.25">
      <c r="A65" s="44"/>
      <c r="B65" s="45"/>
      <c r="C65" s="375"/>
      <c r="D65" s="375"/>
      <c r="E65" s="375"/>
      <c r="F65" s="375"/>
      <c r="G65" s="375"/>
      <c r="H65" s="375"/>
      <c r="I65" s="376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A1:G1"/>
    <mergeCell ref="A2:B2"/>
    <mergeCell ref="E2:F2"/>
    <mergeCell ref="H2:I2"/>
    <mergeCell ref="A3:B3"/>
    <mergeCell ref="E3:F3"/>
    <mergeCell ref="H3:I3"/>
    <mergeCell ref="H54:H55"/>
    <mergeCell ref="H56:H57"/>
    <mergeCell ref="C60:I65"/>
    <mergeCell ref="E4:F4"/>
    <mergeCell ref="A5:B5"/>
    <mergeCell ref="A6:B6"/>
    <mergeCell ref="C6:H6"/>
    <mergeCell ref="C27:H27"/>
    <mergeCell ref="C46:H46"/>
  </mergeCells>
  <conditionalFormatting sqref="C52:G52">
    <cfRule type="expression" dxfId="3287" priority="70">
      <formula>$F52="réalisé"</formula>
    </cfRule>
  </conditionalFormatting>
  <conditionalFormatting sqref="C48:C51 E48:H51 E29:H45 C8:H26">
    <cfRule type="expression" dxfId="3286" priority="67">
      <formula>$G8="réalisé"</formula>
    </cfRule>
    <cfRule type="expression" dxfId="3285" priority="68">
      <formula>$G8="en cours"</formula>
    </cfRule>
    <cfRule type="expression" dxfId="3284" priority="69">
      <formula>$G8="non compris"</formula>
    </cfRule>
  </conditionalFormatting>
  <conditionalFormatting sqref="C29:C45">
    <cfRule type="expression" dxfId="3283" priority="64">
      <formula>$G29="réalisé"</formula>
    </cfRule>
    <cfRule type="expression" dxfId="3282" priority="65">
      <formula>$G29="en cours"</formula>
    </cfRule>
    <cfRule type="expression" dxfId="3281" priority="66">
      <formula>$G29="non compris"</formula>
    </cfRule>
  </conditionalFormatting>
  <conditionalFormatting sqref="C55:F58">
    <cfRule type="expression" dxfId="3280" priority="63">
      <formula>$F55="réalisé"</formula>
    </cfRule>
  </conditionalFormatting>
  <conditionalFormatting sqref="G9">
    <cfRule type="expression" dxfId="3279" priority="62">
      <formula>$G$10="réalisé"</formula>
    </cfRule>
  </conditionalFormatting>
  <conditionalFormatting sqref="G10:G14">
    <cfRule type="expression" dxfId="3278" priority="61">
      <formula>$G$15="réalisé"</formula>
    </cfRule>
  </conditionalFormatting>
  <conditionalFormatting sqref="G20:G21">
    <cfRule type="expression" dxfId="3277" priority="60">
      <formula>$G$22="réalisé"</formula>
    </cfRule>
  </conditionalFormatting>
  <conditionalFormatting sqref="G30">
    <cfRule type="expression" dxfId="3276" priority="59">
      <formula>$G$31="réalisé"</formula>
    </cfRule>
  </conditionalFormatting>
  <conditionalFormatting sqref="D29">
    <cfRule type="expression" dxfId="3275" priority="56">
      <formula>$G29="réalisé"</formula>
    </cfRule>
    <cfRule type="expression" dxfId="3274" priority="57">
      <formula>$G29="en cours"</formula>
    </cfRule>
    <cfRule type="expression" dxfId="3273" priority="58">
      <formula>$G29="non compris"</formula>
    </cfRule>
  </conditionalFormatting>
  <conditionalFormatting sqref="D31">
    <cfRule type="expression" dxfId="3272" priority="53">
      <formula>$G31="réalisé"</formula>
    </cfRule>
    <cfRule type="expression" dxfId="3271" priority="54">
      <formula>$G31="en cours"</formula>
    </cfRule>
    <cfRule type="expression" dxfId="3270" priority="55">
      <formula>$G31="non compris"</formula>
    </cfRule>
  </conditionalFormatting>
  <conditionalFormatting sqref="D33">
    <cfRule type="expression" dxfId="3269" priority="50">
      <formula>$G33="réalisé"</formula>
    </cfRule>
    <cfRule type="expression" dxfId="3268" priority="51">
      <formula>$G33="en cours"</formula>
    </cfRule>
    <cfRule type="expression" dxfId="3267" priority="52">
      <formula>$G33="non compris"</formula>
    </cfRule>
  </conditionalFormatting>
  <conditionalFormatting sqref="D35">
    <cfRule type="expression" dxfId="3266" priority="47">
      <formula>$G35="réalisé"</formula>
    </cfRule>
    <cfRule type="expression" dxfId="3265" priority="48">
      <formula>$G35="en cours"</formula>
    </cfRule>
    <cfRule type="expression" dxfId="3264" priority="49">
      <formula>$G35="non compris"</formula>
    </cfRule>
  </conditionalFormatting>
  <conditionalFormatting sqref="D37">
    <cfRule type="expression" dxfId="3263" priority="44">
      <formula>$G37="réalisé"</formula>
    </cfRule>
    <cfRule type="expression" dxfId="3262" priority="45">
      <formula>$G37="en cours"</formula>
    </cfRule>
    <cfRule type="expression" dxfId="3261" priority="46">
      <formula>$G37="non compris"</formula>
    </cfRule>
  </conditionalFormatting>
  <conditionalFormatting sqref="D39">
    <cfRule type="expression" dxfId="3260" priority="41">
      <formula>$G39="réalisé"</formula>
    </cfRule>
    <cfRule type="expression" dxfId="3259" priority="42">
      <formula>$G39="en cours"</formula>
    </cfRule>
    <cfRule type="expression" dxfId="3258" priority="43">
      <formula>$G39="non compris"</formula>
    </cfRule>
  </conditionalFormatting>
  <conditionalFormatting sqref="D41">
    <cfRule type="expression" dxfId="3257" priority="38">
      <formula>$G41="réalisé"</formula>
    </cfRule>
    <cfRule type="expression" dxfId="3256" priority="39">
      <formula>$G41="en cours"</formula>
    </cfRule>
    <cfRule type="expression" dxfId="3255" priority="40">
      <formula>$G41="non compris"</formula>
    </cfRule>
  </conditionalFormatting>
  <conditionalFormatting sqref="D44:D45">
    <cfRule type="expression" dxfId="3254" priority="35">
      <formula>$G44="réalisé"</formula>
    </cfRule>
    <cfRule type="expression" dxfId="3253" priority="36">
      <formula>$G44="en cours"</formula>
    </cfRule>
    <cfRule type="expression" dxfId="3252" priority="37">
      <formula>$G44="non compris"</formula>
    </cfRule>
  </conditionalFormatting>
  <conditionalFormatting sqref="D30">
    <cfRule type="expression" dxfId="3251" priority="32">
      <formula>$G30="réalisé"</formula>
    </cfRule>
    <cfRule type="expression" dxfId="3250" priority="33">
      <formula>$G30="en cours"</formula>
    </cfRule>
    <cfRule type="expression" dxfId="3249" priority="34">
      <formula>$G30="non compris"</formula>
    </cfRule>
  </conditionalFormatting>
  <conditionalFormatting sqref="D32">
    <cfRule type="expression" dxfId="3248" priority="29">
      <formula>$G32="réalisé"</formula>
    </cfRule>
    <cfRule type="expression" dxfId="3247" priority="30">
      <formula>$G32="en cours"</formula>
    </cfRule>
    <cfRule type="expression" dxfId="3246" priority="31">
      <formula>$G32="non compris"</formula>
    </cfRule>
  </conditionalFormatting>
  <conditionalFormatting sqref="D34">
    <cfRule type="expression" dxfId="3245" priority="26">
      <formula>$G34="réalisé"</formula>
    </cfRule>
    <cfRule type="expression" dxfId="3244" priority="27">
      <formula>$G34="en cours"</formula>
    </cfRule>
    <cfRule type="expression" dxfId="3243" priority="28">
      <formula>$G34="non compris"</formula>
    </cfRule>
  </conditionalFormatting>
  <conditionalFormatting sqref="D36">
    <cfRule type="expression" dxfId="3242" priority="23">
      <formula>$G36="réalisé"</formula>
    </cfRule>
    <cfRule type="expression" dxfId="3241" priority="24">
      <formula>$G36="en cours"</formula>
    </cfRule>
    <cfRule type="expression" dxfId="3240" priority="25">
      <formula>$G36="non compris"</formula>
    </cfRule>
  </conditionalFormatting>
  <conditionalFormatting sqref="D38">
    <cfRule type="expression" dxfId="3239" priority="20">
      <formula>$G38="réalisé"</formula>
    </cfRule>
    <cfRule type="expression" dxfId="3238" priority="21">
      <formula>$G38="en cours"</formula>
    </cfRule>
    <cfRule type="expression" dxfId="3237" priority="22">
      <formula>$G38="non compris"</formula>
    </cfRule>
  </conditionalFormatting>
  <conditionalFormatting sqref="D40">
    <cfRule type="expression" dxfId="3236" priority="17">
      <formula>$G40="réalisé"</formula>
    </cfRule>
    <cfRule type="expression" dxfId="3235" priority="18">
      <formula>$G40="en cours"</formula>
    </cfRule>
    <cfRule type="expression" dxfId="3234" priority="19">
      <formula>$G40="non compris"</formula>
    </cfRule>
  </conditionalFormatting>
  <conditionalFormatting sqref="D42:D43">
    <cfRule type="expression" dxfId="3233" priority="14">
      <formula>$G42="réalisé"</formula>
    </cfRule>
    <cfRule type="expression" dxfId="3232" priority="15">
      <formula>$G42="en cours"</formula>
    </cfRule>
    <cfRule type="expression" dxfId="3231" priority="16">
      <formula>$G42="non compris"</formula>
    </cfRule>
  </conditionalFormatting>
  <conditionalFormatting sqref="D50">
    <cfRule type="expression" dxfId="3230" priority="11">
      <formula>$G50="réalisé"</formula>
    </cfRule>
    <cfRule type="expression" dxfId="3229" priority="12">
      <formula>$G50="en cours"</formula>
    </cfRule>
    <cfRule type="expression" dxfId="3228" priority="13">
      <formula>$G50="non compris"</formula>
    </cfRule>
  </conditionalFormatting>
  <conditionalFormatting sqref="D49">
    <cfRule type="expression" dxfId="3227" priority="8">
      <formula>$G49="réalisé"</formula>
    </cfRule>
    <cfRule type="expression" dxfId="3226" priority="9">
      <formula>$G49="en cours"</formula>
    </cfRule>
    <cfRule type="expression" dxfId="3225" priority="10">
      <formula>$G49="non compris"</formula>
    </cfRule>
  </conditionalFormatting>
  <conditionalFormatting sqref="D48">
    <cfRule type="expression" dxfId="3224" priority="5">
      <formula>$G48="réalisé"</formula>
    </cfRule>
    <cfRule type="expression" dxfId="3223" priority="6">
      <formula>$G48="en cours"</formula>
    </cfRule>
    <cfRule type="expression" dxfId="3222" priority="7">
      <formula>$G48="non compris"</formula>
    </cfRule>
  </conditionalFormatting>
  <conditionalFormatting sqref="D51">
    <cfRule type="expression" dxfId="3221" priority="2">
      <formula>$G51="réalisé"</formula>
    </cfRule>
    <cfRule type="expression" dxfId="3220" priority="3">
      <formula>$G51="en cours"</formula>
    </cfRule>
    <cfRule type="expression" dxfId="3219" priority="4">
      <formula>$G51="non compris"</formula>
    </cfRule>
  </conditionalFormatting>
  <conditionalFormatting sqref="D8:D26">
    <cfRule type="expression" dxfId="3218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8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rgb="FF00B050"/>
    <pageSetUpPr fitToPage="1"/>
  </sheetPr>
  <dimension ref="A1:I74"/>
  <sheetViews>
    <sheetView topLeftCell="A7" zoomScaleNormal="100" workbookViewId="0">
      <selection activeCell="E25" sqref="E25"/>
    </sheetView>
  </sheetViews>
  <sheetFormatPr baseColWidth="10" defaultRowHeight="15" x14ac:dyDescent="0.25"/>
  <cols>
    <col min="1" max="1" width="12.85546875" customWidth="1"/>
    <col min="2" max="2" width="12.57031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7" t="s">
        <v>0</v>
      </c>
      <c r="B1" s="378"/>
      <c r="C1" s="378"/>
      <c r="D1" s="378"/>
      <c r="E1" s="378"/>
      <c r="F1" s="378"/>
      <c r="G1" s="378"/>
      <c r="H1" s="1" t="s">
        <v>1</v>
      </c>
      <c r="I1" s="3">
        <f ca="1">INT(MOD(INT((LISTE!D1-2)/7)+0.6,52+5/28))+1</f>
        <v>41</v>
      </c>
    </row>
    <row r="2" spans="1:9" x14ac:dyDescent="0.25">
      <c r="A2" s="390" t="s">
        <v>2</v>
      </c>
      <c r="B2" s="391"/>
      <c r="C2" s="70" t="str">
        <f ca="1">MID(CELL("nomfichier",A1),FIND("]",CELL("nomfichier",A1),1)+1,30)</f>
        <v>BREMENT</v>
      </c>
      <c r="D2" s="4" t="s">
        <v>72</v>
      </c>
      <c r="E2" s="379"/>
      <c r="F2" s="379"/>
      <c r="G2" s="5"/>
      <c r="H2" s="380" t="s">
        <v>143</v>
      </c>
      <c r="I2" s="381"/>
    </row>
    <row r="3" spans="1:9" ht="15.75" x14ac:dyDescent="0.25">
      <c r="A3" s="392" t="s">
        <v>106</v>
      </c>
      <c r="B3" s="384"/>
      <c r="C3" s="6" t="s">
        <v>270</v>
      </c>
      <c r="D3" s="7" t="s">
        <v>3</v>
      </c>
      <c r="E3" s="382">
        <v>42985</v>
      </c>
      <c r="F3" s="383"/>
      <c r="G3" s="8"/>
      <c r="H3" s="384" t="str">
        <f ca="1">DATEDIF(E3,TODAY(),"m")&amp;"mois"&amp;-DATEDIF(E3,TODAY(),"md")&amp;"jours"</f>
        <v>13mois-5jours</v>
      </c>
      <c r="I3" s="385"/>
    </row>
    <row r="4" spans="1:9" ht="18.75" x14ac:dyDescent="0.25">
      <c r="A4" s="69" t="s">
        <v>117</v>
      </c>
      <c r="B4" s="129"/>
      <c r="C4" s="9"/>
      <c r="D4" s="10" t="s">
        <v>4</v>
      </c>
      <c r="E4" s="386">
        <f>E3+60</f>
        <v>43045</v>
      </c>
      <c r="F4" s="386"/>
      <c r="G4" s="11"/>
      <c r="H4" s="12"/>
      <c r="I4" s="13"/>
    </row>
    <row r="5" spans="1:9" x14ac:dyDescent="0.25">
      <c r="A5" s="393" t="s">
        <v>76</v>
      </c>
      <c r="B5" s="394"/>
      <c r="C5" s="15"/>
      <c r="D5" s="16"/>
      <c r="E5" s="15"/>
      <c r="F5" s="15"/>
      <c r="G5" s="17"/>
      <c r="H5" s="18"/>
      <c r="I5" s="19"/>
    </row>
    <row r="6" spans="1:9" ht="18.75" x14ac:dyDescent="0.3">
      <c r="A6" s="395" t="s">
        <v>75</v>
      </c>
      <c r="B6" s="396"/>
      <c r="C6" s="387" t="s">
        <v>145</v>
      </c>
      <c r="D6" s="388"/>
      <c r="E6" s="388"/>
      <c r="F6" s="388"/>
      <c r="G6" s="388"/>
      <c r="H6" s="389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22"/>
      <c r="B8" s="287"/>
      <c r="C8" s="28" t="s">
        <v>124</v>
      </c>
      <c r="D8" s="52" t="s">
        <v>209</v>
      </c>
      <c r="E8" s="180">
        <v>37</v>
      </c>
      <c r="F8" s="25"/>
      <c r="G8" s="26" t="s">
        <v>36</v>
      </c>
      <c r="H8" s="27"/>
      <c r="I8" s="19"/>
    </row>
    <row r="9" spans="1:9" x14ac:dyDescent="0.25">
      <c r="A9" s="122"/>
      <c r="B9" s="288"/>
      <c r="C9" s="28" t="s">
        <v>131</v>
      </c>
      <c r="D9" s="53" t="str">
        <f>D8</f>
        <v>BATITOUT 67</v>
      </c>
      <c r="E9" s="181">
        <v>39</v>
      </c>
      <c r="F9" s="29"/>
      <c r="G9" s="30" t="s">
        <v>36</v>
      </c>
      <c r="H9" s="27"/>
      <c r="I9" s="19"/>
    </row>
    <row r="10" spans="1:9" ht="15" customHeight="1" x14ac:dyDescent="0.25">
      <c r="A10" s="131"/>
      <c r="B10" s="289"/>
      <c r="C10" s="28" t="s">
        <v>132</v>
      </c>
      <c r="D10" s="52" t="str">
        <f>D9</f>
        <v>BATITOUT 67</v>
      </c>
      <c r="E10" s="180">
        <v>41</v>
      </c>
      <c r="F10" s="31"/>
      <c r="G10" s="30" t="s">
        <v>36</v>
      </c>
      <c r="H10" s="27"/>
      <c r="I10" s="19"/>
    </row>
    <row r="11" spans="1:9" ht="15" customHeight="1" x14ac:dyDescent="0.25">
      <c r="A11" s="131"/>
      <c r="B11" s="290"/>
      <c r="C11" s="28" t="s">
        <v>133</v>
      </c>
      <c r="D11" s="54" t="str">
        <f>D8</f>
        <v>BATITOUT 67</v>
      </c>
      <c r="E11" s="180">
        <f>E10+1</f>
        <v>42</v>
      </c>
      <c r="F11" s="31"/>
      <c r="G11" s="30" t="s">
        <v>9</v>
      </c>
      <c r="H11" s="27"/>
      <c r="I11" s="19"/>
    </row>
    <row r="12" spans="1:9" ht="15" customHeight="1" x14ac:dyDescent="0.25">
      <c r="A12" s="301">
        <v>18545.59</v>
      </c>
      <c r="B12" s="291">
        <f>A12</f>
        <v>18545.59</v>
      </c>
      <c r="C12" s="28" t="s">
        <v>134</v>
      </c>
      <c r="D12" s="54" t="str">
        <f t="shared" ref="D12:D14" si="0">D9</f>
        <v>BATITOUT 67</v>
      </c>
      <c r="E12" s="180">
        <f>E11+2</f>
        <v>44</v>
      </c>
      <c r="F12" s="31"/>
      <c r="G12" s="30" t="s">
        <v>9</v>
      </c>
      <c r="H12" s="27"/>
      <c r="I12" s="19"/>
    </row>
    <row r="13" spans="1:9" ht="15" customHeight="1" x14ac:dyDescent="0.25">
      <c r="A13" s="284"/>
      <c r="B13" s="290"/>
      <c r="C13" s="28" t="s">
        <v>135</v>
      </c>
      <c r="D13" s="54" t="str">
        <f t="shared" si="0"/>
        <v>BATITOUT 67</v>
      </c>
      <c r="E13" s="180">
        <f>E12+1</f>
        <v>45</v>
      </c>
      <c r="F13" s="31"/>
      <c r="G13" s="30" t="s">
        <v>9</v>
      </c>
      <c r="H13" s="27"/>
      <c r="I13" s="19"/>
    </row>
    <row r="14" spans="1:9" ht="15" customHeight="1" x14ac:dyDescent="0.25">
      <c r="A14" s="284"/>
      <c r="B14" s="290"/>
      <c r="C14" s="28" t="s">
        <v>136</v>
      </c>
      <c r="D14" s="54" t="str">
        <f t="shared" si="0"/>
        <v>BATITOUT 67</v>
      </c>
      <c r="E14" s="180">
        <f>E13</f>
        <v>45</v>
      </c>
      <c r="F14" s="31"/>
      <c r="G14" s="30" t="s">
        <v>9</v>
      </c>
      <c r="H14" s="27"/>
      <c r="I14" s="19"/>
    </row>
    <row r="15" spans="1:9" x14ac:dyDescent="0.25">
      <c r="A15" s="284"/>
      <c r="B15" s="290"/>
      <c r="C15" s="28" t="s">
        <v>62</v>
      </c>
      <c r="D15" s="53" t="s">
        <v>64</v>
      </c>
      <c r="E15" s="24">
        <f>E10+4</f>
        <v>45</v>
      </c>
      <c r="F15" s="29"/>
      <c r="G15" s="30" t="s">
        <v>70</v>
      </c>
      <c r="H15" s="27"/>
      <c r="I15" s="19"/>
    </row>
    <row r="16" spans="1:9" x14ac:dyDescent="0.25">
      <c r="A16" s="284"/>
      <c r="B16" s="290"/>
      <c r="C16" s="28" t="s">
        <v>10</v>
      </c>
      <c r="D16" s="52" t="s">
        <v>64</v>
      </c>
      <c r="E16" s="24">
        <f>E10+1</f>
        <v>42</v>
      </c>
      <c r="F16" s="29"/>
      <c r="G16" s="30" t="s">
        <v>70</v>
      </c>
      <c r="H16" s="27"/>
      <c r="I16" s="19"/>
    </row>
    <row r="17" spans="1:9" x14ac:dyDescent="0.25">
      <c r="A17" s="284"/>
      <c r="B17" s="290"/>
      <c r="C17" s="28" t="s">
        <v>11</v>
      </c>
      <c r="D17" s="53" t="s">
        <v>209</v>
      </c>
      <c r="E17" s="24">
        <v>45</v>
      </c>
      <c r="F17" s="29"/>
      <c r="G17" s="30" t="s">
        <v>9</v>
      </c>
      <c r="H17" s="27"/>
      <c r="I17" s="19"/>
    </row>
    <row r="18" spans="1:9" x14ac:dyDescent="0.25">
      <c r="A18" s="301">
        <v>2083.6799999999998</v>
      </c>
      <c r="B18" s="291">
        <f>A18</f>
        <v>2083.6799999999998</v>
      </c>
      <c r="C18" s="28" t="s">
        <v>12</v>
      </c>
      <c r="D18" s="52" t="s">
        <v>41</v>
      </c>
      <c r="E18" s="180">
        <f>IF(E13="","",MOD(E17+1,52))</f>
        <v>46</v>
      </c>
      <c r="F18" s="29"/>
      <c r="G18" s="30" t="s">
        <v>9</v>
      </c>
      <c r="H18" s="27"/>
      <c r="I18" s="19"/>
    </row>
    <row r="19" spans="1:9" x14ac:dyDescent="0.25">
      <c r="A19" s="284"/>
      <c r="B19" s="290"/>
      <c r="C19" s="28" t="s">
        <v>73</v>
      </c>
      <c r="D19" s="53" t="str">
        <f>D10</f>
        <v>BATITOUT 67</v>
      </c>
      <c r="E19" s="24">
        <f>IF(E18="","",MOD(E18+1,52))</f>
        <v>47</v>
      </c>
      <c r="F19" s="29"/>
      <c r="G19" s="30" t="s">
        <v>9</v>
      </c>
      <c r="H19" s="27"/>
      <c r="I19" s="19"/>
    </row>
    <row r="20" spans="1:9" x14ac:dyDescent="0.25">
      <c r="A20" s="301">
        <v>1699.02</v>
      </c>
      <c r="B20" s="291">
        <f>A20</f>
        <v>1699.02</v>
      </c>
      <c r="C20" s="28" t="s">
        <v>59</v>
      </c>
      <c r="D20" s="52" t="s">
        <v>41</v>
      </c>
      <c r="E20" s="24">
        <f>IF(E19="","",MOD(E19+1,52))</f>
        <v>48</v>
      </c>
      <c r="F20" s="29"/>
      <c r="G20" s="30" t="s">
        <v>9</v>
      </c>
      <c r="H20" s="27"/>
      <c r="I20" s="19"/>
    </row>
    <row r="21" spans="1:9" x14ac:dyDescent="0.25">
      <c r="A21" s="317"/>
      <c r="B21" s="291">
        <f>A21</f>
        <v>0</v>
      </c>
      <c r="C21" s="28" t="s">
        <v>60</v>
      </c>
      <c r="D21" s="54" t="s">
        <v>44</v>
      </c>
      <c r="E21" s="24">
        <f>E20</f>
        <v>48</v>
      </c>
      <c r="F21" s="29"/>
      <c r="G21" s="30" t="s">
        <v>9</v>
      </c>
      <c r="H21" s="50"/>
      <c r="I21" s="19"/>
    </row>
    <row r="22" spans="1:9" x14ac:dyDescent="0.25">
      <c r="A22" s="284"/>
      <c r="B22" s="290"/>
      <c r="C22" s="167" t="s">
        <v>13</v>
      </c>
      <c r="D22" s="168" t="s">
        <v>44</v>
      </c>
      <c r="E22" s="169">
        <f>E20</f>
        <v>48</v>
      </c>
      <c r="F22" s="170"/>
      <c r="G22" s="171" t="s">
        <v>9</v>
      </c>
      <c r="H22" s="172"/>
      <c r="I22" s="19"/>
    </row>
    <row r="23" spans="1:9" x14ac:dyDescent="0.25">
      <c r="A23" s="301"/>
      <c r="B23" s="291">
        <f>A23</f>
        <v>0</v>
      </c>
      <c r="C23" s="32" t="s">
        <v>138</v>
      </c>
      <c r="D23" s="52" t="s">
        <v>45</v>
      </c>
      <c r="E23" s="24">
        <f>IF(E20="","",MOD(E20+2,52))</f>
        <v>50</v>
      </c>
      <c r="F23" s="29"/>
      <c r="G23" s="30" t="s">
        <v>9</v>
      </c>
      <c r="H23" s="27"/>
      <c r="I23" s="19"/>
    </row>
    <row r="24" spans="1:9" x14ac:dyDescent="0.25">
      <c r="A24" s="284"/>
      <c r="B24" s="290"/>
      <c r="C24" s="28" t="s">
        <v>14</v>
      </c>
      <c r="D24" s="53" t="str">
        <f>D17</f>
        <v>BATITOUT 67</v>
      </c>
      <c r="E24" s="24">
        <f>IF(E20="","",MOD(E20+2,52))</f>
        <v>50</v>
      </c>
      <c r="F24" s="29"/>
      <c r="G24" s="30" t="s">
        <v>9</v>
      </c>
      <c r="H24" s="27"/>
      <c r="I24" s="19"/>
    </row>
    <row r="25" spans="1:9" x14ac:dyDescent="0.25">
      <c r="A25" s="301"/>
      <c r="B25" s="291">
        <f>A25</f>
        <v>0</v>
      </c>
      <c r="C25" s="183" t="s">
        <v>137</v>
      </c>
      <c r="D25" s="53" t="s">
        <v>56</v>
      </c>
      <c r="E25" s="24">
        <f>E23</f>
        <v>50</v>
      </c>
      <c r="F25" s="29"/>
      <c r="G25" s="72" t="s">
        <v>9</v>
      </c>
      <c r="H25" s="27"/>
      <c r="I25" s="19"/>
    </row>
    <row r="26" spans="1:9" x14ac:dyDescent="0.25">
      <c r="A26" s="284"/>
      <c r="B26" s="290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285"/>
      <c r="B27" s="292"/>
      <c r="C27" s="387" t="s">
        <v>144</v>
      </c>
      <c r="D27" s="388"/>
      <c r="E27" s="388"/>
      <c r="F27" s="388"/>
      <c r="G27" s="388"/>
      <c r="H27" s="389"/>
      <c r="I27" s="19"/>
    </row>
    <row r="28" spans="1:9" ht="15.75" thickBot="1" x14ac:dyDescent="0.3">
      <c r="A28" s="284"/>
      <c r="B28" s="290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301">
        <v>1609.73</v>
      </c>
      <c r="B29" s="291">
        <f>A29</f>
        <v>1609.73</v>
      </c>
      <c r="C29" s="78" t="s">
        <v>66</v>
      </c>
      <c r="D29" s="52" t="s">
        <v>49</v>
      </c>
      <c r="E29" s="79">
        <f>IF(E24="","",MOD(E24+1,52))</f>
        <v>51</v>
      </c>
      <c r="F29" s="25"/>
      <c r="G29" s="26" t="s">
        <v>9</v>
      </c>
      <c r="H29" s="27"/>
      <c r="I29" s="19"/>
    </row>
    <row r="30" spans="1:9" x14ac:dyDescent="0.25">
      <c r="A30" s="301">
        <v>2879.81</v>
      </c>
      <c r="B30" s="291">
        <f>A30</f>
        <v>2879.81</v>
      </c>
      <c r="C30" s="28" t="s">
        <v>67</v>
      </c>
      <c r="D30" s="53" t="s">
        <v>47</v>
      </c>
      <c r="E30" s="24">
        <f>IF(E29="","",MOD(E29+1,52))</f>
        <v>0</v>
      </c>
      <c r="F30" s="29"/>
      <c r="G30" s="30"/>
      <c r="H30" s="27"/>
      <c r="I30" s="19"/>
    </row>
    <row r="31" spans="1:9" x14ac:dyDescent="0.25">
      <c r="A31" s="284"/>
      <c r="B31" s="290"/>
      <c r="C31" s="62" t="s">
        <v>16</v>
      </c>
      <c r="D31" s="52" t="str">
        <f>D29</f>
        <v>BENELEC</v>
      </c>
      <c r="E31" s="24">
        <f>IF(E30="","",MOD(E30+2,52))</f>
        <v>2</v>
      </c>
      <c r="F31" s="29"/>
      <c r="G31" s="30"/>
      <c r="H31" s="27"/>
      <c r="I31" s="19"/>
    </row>
    <row r="32" spans="1:9" x14ac:dyDescent="0.25">
      <c r="A32" s="301">
        <v>506.62</v>
      </c>
      <c r="B32" s="291">
        <f>A32</f>
        <v>506.62</v>
      </c>
      <c r="C32" s="80" t="s">
        <v>17</v>
      </c>
      <c r="D32" s="53" t="s">
        <v>128</v>
      </c>
      <c r="E32" s="24">
        <f>IF(E30="","",MOD(E30+2,52))</f>
        <v>2</v>
      </c>
      <c r="F32" s="29"/>
      <c r="G32" s="30"/>
      <c r="H32" s="27"/>
      <c r="I32" s="19"/>
    </row>
    <row r="33" spans="1:9" x14ac:dyDescent="0.25">
      <c r="A33" s="318"/>
      <c r="B33" s="291"/>
      <c r="C33" s="62" t="s">
        <v>140</v>
      </c>
      <c r="D33" s="52" t="s">
        <v>128</v>
      </c>
      <c r="E33" s="24">
        <f>IF(E32="","",MOD(E32+1,52))</f>
        <v>3</v>
      </c>
      <c r="F33" s="29"/>
      <c r="G33" s="30"/>
      <c r="H33" s="27"/>
      <c r="I33" s="19"/>
    </row>
    <row r="34" spans="1:9" x14ac:dyDescent="0.25">
      <c r="A34" s="318"/>
      <c r="B34" s="291">
        <f>A34</f>
        <v>0</v>
      </c>
      <c r="C34" s="28" t="s">
        <v>141</v>
      </c>
      <c r="D34" s="53" t="s">
        <v>128</v>
      </c>
      <c r="E34" s="24">
        <f>IF(E32="","",MOD(E32+1,52))</f>
        <v>3</v>
      </c>
      <c r="F34" s="29"/>
      <c r="G34" s="30"/>
      <c r="H34" s="27"/>
      <c r="I34" s="19"/>
    </row>
    <row r="35" spans="1:9" x14ac:dyDescent="0.25">
      <c r="A35" s="284"/>
      <c r="B35" s="290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301">
        <v>318.86</v>
      </c>
      <c r="B36" s="291">
        <f>A36</f>
        <v>318.86</v>
      </c>
      <c r="C36" s="28" t="s">
        <v>19</v>
      </c>
      <c r="D36" s="53" t="s">
        <v>206</v>
      </c>
      <c r="E36" s="24">
        <f>IF(E34="","",MOD(E34+1,52))</f>
        <v>4</v>
      </c>
      <c r="F36" s="29"/>
      <c r="G36" s="30"/>
      <c r="H36" s="27"/>
      <c r="I36" s="19"/>
    </row>
    <row r="37" spans="1:9" x14ac:dyDescent="0.25">
      <c r="A37" s="284"/>
      <c r="B37" s="290"/>
      <c r="C37" s="28" t="s">
        <v>20</v>
      </c>
      <c r="D37" s="52" t="str">
        <f>D30</f>
        <v>SOARES</v>
      </c>
      <c r="E37" s="24">
        <f>IF(E36="","",MOD(E36+1,52))</f>
        <v>5</v>
      </c>
      <c r="F37" s="29"/>
      <c r="G37" s="30"/>
      <c r="H37" s="27"/>
      <c r="I37" s="19"/>
    </row>
    <row r="38" spans="1:9" x14ac:dyDescent="0.25">
      <c r="A38" s="284"/>
      <c r="B38" s="290"/>
      <c r="C38" s="28" t="s">
        <v>21</v>
      </c>
      <c r="D38" s="53" t="str">
        <f>D29</f>
        <v>BENELEC</v>
      </c>
      <c r="E38" s="24">
        <f>IF(E37="","",MOD(E37+1,52))</f>
        <v>6</v>
      </c>
      <c r="F38" s="29"/>
      <c r="G38" s="30" t="s">
        <v>9</v>
      </c>
      <c r="H38" s="27"/>
      <c r="I38" s="19"/>
    </row>
    <row r="39" spans="1:9" x14ac:dyDescent="0.25">
      <c r="A39" s="284"/>
      <c r="B39" s="290"/>
      <c r="C39" s="28" t="s">
        <v>22</v>
      </c>
      <c r="D39" s="52" t="str">
        <f>D32</f>
        <v>MEYER</v>
      </c>
      <c r="E39" s="24">
        <f>IF(E37="","",MOD(E37+1,52))</f>
        <v>6</v>
      </c>
      <c r="F39" s="29"/>
      <c r="G39" s="30"/>
      <c r="H39" s="27"/>
      <c r="I39" s="19"/>
    </row>
    <row r="40" spans="1:9" x14ac:dyDescent="0.25">
      <c r="A40" s="302">
        <v>456.18</v>
      </c>
      <c r="B40" s="290">
        <f>+A40</f>
        <v>456.18</v>
      </c>
      <c r="C40" s="296" t="s">
        <v>23</v>
      </c>
      <c r="D40" s="53" t="s">
        <v>53</v>
      </c>
      <c r="E40" s="297">
        <f>E36+4</f>
        <v>8</v>
      </c>
      <c r="F40" s="298"/>
      <c r="G40" s="299" t="s">
        <v>9</v>
      </c>
      <c r="H40" s="300"/>
      <c r="I40" s="19"/>
    </row>
    <row r="41" spans="1:9" x14ac:dyDescent="0.25">
      <c r="A41" s="284"/>
      <c r="B41" s="290"/>
      <c r="C41" s="28" t="s">
        <v>24</v>
      </c>
      <c r="D41" s="52" t="s">
        <v>64</v>
      </c>
      <c r="E41" s="24">
        <f>E39+1</f>
        <v>7</v>
      </c>
      <c r="F41" s="29"/>
      <c r="G41" s="30" t="s">
        <v>70</v>
      </c>
      <c r="H41" s="27"/>
      <c r="I41" s="19"/>
    </row>
    <row r="42" spans="1:9" x14ac:dyDescent="0.25">
      <c r="A42" s="284"/>
      <c r="B42" s="290"/>
      <c r="C42" s="28" t="s">
        <v>25</v>
      </c>
      <c r="D42" s="53" t="str">
        <f>D34</f>
        <v>MEYER</v>
      </c>
      <c r="E42" s="24">
        <f>IF(E40="","",MOD(E40+2,52))</f>
        <v>10</v>
      </c>
      <c r="F42" s="29"/>
      <c r="G42" s="30"/>
      <c r="H42" s="27"/>
      <c r="I42" s="19"/>
    </row>
    <row r="43" spans="1:9" x14ac:dyDescent="0.25">
      <c r="A43" s="283"/>
      <c r="B43" s="291">
        <f>A43</f>
        <v>0</v>
      </c>
      <c r="C43" s="81" t="s">
        <v>147</v>
      </c>
      <c r="D43" s="52" t="s">
        <v>64</v>
      </c>
      <c r="E43" s="82">
        <f>E44</f>
        <v>10</v>
      </c>
      <c r="F43" s="83"/>
      <c r="G43" s="72" t="s">
        <v>70</v>
      </c>
      <c r="H43" s="27"/>
      <c r="I43" s="19"/>
    </row>
    <row r="44" spans="1:9" x14ac:dyDescent="0.25">
      <c r="A44" s="301"/>
      <c r="B44" s="291">
        <f>A44</f>
        <v>0</v>
      </c>
      <c r="C44" s="81" t="s">
        <v>139</v>
      </c>
      <c r="D44" s="193" t="s">
        <v>196</v>
      </c>
      <c r="E44" s="82">
        <f>IF(E40="","",MOD(E40+2,52))</f>
        <v>10</v>
      </c>
      <c r="F44" s="83"/>
      <c r="G44" s="72" t="s">
        <v>258</v>
      </c>
      <c r="H44" s="194"/>
      <c r="I44" s="19"/>
    </row>
    <row r="45" spans="1:9" x14ac:dyDescent="0.25">
      <c r="A45" s="284"/>
      <c r="B45" s="290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285"/>
      <c r="B46" s="292"/>
      <c r="C46" s="387" t="s">
        <v>146</v>
      </c>
      <c r="D46" s="388"/>
      <c r="E46" s="388"/>
      <c r="F46" s="388"/>
      <c r="G46" s="388"/>
      <c r="H46" s="389"/>
      <c r="I46" s="19"/>
    </row>
    <row r="47" spans="1:9" ht="15.75" thickBot="1" x14ac:dyDescent="0.3">
      <c r="A47" s="284"/>
      <c r="B47" s="293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283"/>
      <c r="B48" s="291">
        <f>A48</f>
        <v>0</v>
      </c>
      <c r="C48" s="88" t="s">
        <v>26</v>
      </c>
      <c r="D48" s="52" t="s">
        <v>57</v>
      </c>
      <c r="E48" s="89">
        <f>E32+1</f>
        <v>3</v>
      </c>
      <c r="F48" s="25"/>
      <c r="G48" s="26"/>
      <c r="H48" s="27"/>
      <c r="I48" s="19"/>
    </row>
    <row r="49" spans="1:9" x14ac:dyDescent="0.25">
      <c r="A49" s="286"/>
      <c r="B49" s="294"/>
      <c r="C49" s="102" t="s">
        <v>69</v>
      </c>
      <c r="D49" s="103" t="s">
        <v>64</v>
      </c>
      <c r="E49" s="104">
        <f>E48</f>
        <v>3</v>
      </c>
      <c r="F49" s="105"/>
      <c r="G49" s="106" t="s">
        <v>70</v>
      </c>
      <c r="H49" s="27"/>
      <c r="I49" s="19"/>
    </row>
    <row r="50" spans="1:9" x14ac:dyDescent="0.25">
      <c r="A50" s="286"/>
      <c r="B50" s="294"/>
      <c r="C50" s="92" t="s">
        <v>61</v>
      </c>
      <c r="D50" s="99" t="s">
        <v>68</v>
      </c>
      <c r="E50" s="101">
        <f>E48+1</f>
        <v>4</v>
      </c>
      <c r="F50" s="95"/>
      <c r="G50" s="96" t="s">
        <v>9</v>
      </c>
      <c r="H50" s="97"/>
      <c r="I50" s="19"/>
    </row>
    <row r="51" spans="1:9" x14ac:dyDescent="0.25">
      <c r="A51" s="286">
        <f>SUM(A8:A50)</f>
        <v>28099.49</v>
      </c>
      <c r="B51" s="286">
        <f>SUM(B8:B50)</f>
        <v>28099.49</v>
      </c>
      <c r="C51" s="91" t="s">
        <v>27</v>
      </c>
      <c r="D51" s="52" t="str">
        <f>D48</f>
        <v>TASTEPER</v>
      </c>
      <c r="E51" s="90">
        <f>E48+3</f>
        <v>6</v>
      </c>
      <c r="F51" s="29"/>
      <c r="G51" s="72"/>
      <c r="H51" s="27"/>
      <c r="I51" s="19"/>
    </row>
    <row r="52" spans="1:9" x14ac:dyDescent="0.25">
      <c r="A52" s="34"/>
      <c r="B52" s="295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7" t="s">
        <v>142</v>
      </c>
      <c r="I54" s="19"/>
    </row>
    <row r="55" spans="1:9" x14ac:dyDescent="0.25">
      <c r="A55" s="42"/>
      <c r="B55" s="126"/>
      <c r="C55" s="43" t="s">
        <v>122</v>
      </c>
      <c r="D55" s="175"/>
      <c r="E55" s="44"/>
      <c r="F55" s="45"/>
      <c r="G55" s="18"/>
      <c r="H55" s="398"/>
      <c r="I55" s="19"/>
    </row>
    <row r="56" spans="1:9" x14ac:dyDescent="0.25">
      <c r="A56" s="42"/>
      <c r="B56" s="126"/>
      <c r="C56" s="33" t="s">
        <v>123</v>
      </c>
      <c r="D56" s="176"/>
      <c r="E56" s="46"/>
      <c r="F56" s="2"/>
      <c r="G56" s="18"/>
      <c r="H56" s="399" t="e">
        <f>DATEDIF(E3,D58,"m")&amp;"mois"&amp;DATEDIF(E3,D58,"md")&amp;"jours"</f>
        <v>#NUM!</v>
      </c>
      <c r="I56" s="19"/>
    </row>
    <row r="57" spans="1:9" ht="15.75" thickBot="1" x14ac:dyDescent="0.3">
      <c r="A57" s="42"/>
      <c r="B57" s="126"/>
      <c r="C57" s="33" t="s">
        <v>31</v>
      </c>
      <c r="D57" s="176"/>
      <c r="E57" s="46"/>
      <c r="F57" s="2"/>
      <c r="G57" s="18"/>
      <c r="H57" s="400"/>
      <c r="I57" s="19"/>
    </row>
    <row r="58" spans="1:9" x14ac:dyDescent="0.25">
      <c r="A58" s="42"/>
      <c r="B58" s="126"/>
      <c r="C58" s="47" t="s">
        <v>32</v>
      </c>
      <c r="D58" s="184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1"/>
      <c r="D60" s="371"/>
      <c r="E60" s="371"/>
      <c r="F60" s="371"/>
      <c r="G60" s="371"/>
      <c r="H60" s="371"/>
      <c r="I60" s="372"/>
    </row>
    <row r="61" spans="1:9" x14ac:dyDescent="0.25">
      <c r="A61" s="34"/>
      <c r="B61" s="18"/>
      <c r="C61" s="373"/>
      <c r="D61" s="373"/>
      <c r="E61" s="373"/>
      <c r="F61" s="373"/>
      <c r="G61" s="373"/>
      <c r="H61" s="373"/>
      <c r="I61" s="374"/>
    </row>
    <row r="62" spans="1:9" x14ac:dyDescent="0.25">
      <c r="A62" s="34"/>
      <c r="B62" s="18"/>
      <c r="C62" s="373"/>
      <c r="D62" s="373"/>
      <c r="E62" s="373"/>
      <c r="F62" s="373"/>
      <c r="G62" s="373"/>
      <c r="H62" s="373"/>
      <c r="I62" s="374"/>
    </row>
    <row r="63" spans="1:9" x14ac:dyDescent="0.25">
      <c r="A63" s="34"/>
      <c r="B63" s="18"/>
      <c r="C63" s="373"/>
      <c r="D63" s="373"/>
      <c r="E63" s="373"/>
      <c r="F63" s="373"/>
      <c r="G63" s="373"/>
      <c r="H63" s="373"/>
      <c r="I63" s="374"/>
    </row>
    <row r="64" spans="1:9" x14ac:dyDescent="0.25">
      <c r="A64" s="34"/>
      <c r="B64" s="18"/>
      <c r="C64" s="373"/>
      <c r="D64" s="373"/>
      <c r="E64" s="373"/>
      <c r="F64" s="373"/>
      <c r="G64" s="373"/>
      <c r="H64" s="373"/>
      <c r="I64" s="374"/>
    </row>
    <row r="65" spans="1:9" x14ac:dyDescent="0.25">
      <c r="A65" s="44"/>
      <c r="B65" s="45"/>
      <c r="C65" s="375"/>
      <c r="D65" s="375"/>
      <c r="E65" s="375"/>
      <c r="F65" s="375"/>
      <c r="G65" s="375"/>
      <c r="H65" s="375"/>
      <c r="I65" s="376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H54:H55"/>
    <mergeCell ref="H56:H57"/>
    <mergeCell ref="C60:I65"/>
    <mergeCell ref="E4:F4"/>
    <mergeCell ref="A5:B5"/>
    <mergeCell ref="A6:B6"/>
    <mergeCell ref="C6:H6"/>
    <mergeCell ref="C27:H27"/>
    <mergeCell ref="C46:H46"/>
    <mergeCell ref="A1:G1"/>
    <mergeCell ref="A2:B2"/>
    <mergeCell ref="E2:F2"/>
    <mergeCell ref="H2:I2"/>
    <mergeCell ref="A3:B3"/>
    <mergeCell ref="E3:F3"/>
    <mergeCell ref="H3:I3"/>
  </mergeCells>
  <conditionalFormatting sqref="C52:G52">
    <cfRule type="expression" dxfId="3175" priority="73">
      <formula>$F52="réalisé"</formula>
    </cfRule>
  </conditionalFormatting>
  <conditionalFormatting sqref="C48:C51 E48:H51 E29:H45 C8:H26">
    <cfRule type="expression" dxfId="3174" priority="70">
      <formula>$G8="réalisé"</formula>
    </cfRule>
    <cfRule type="expression" dxfId="3173" priority="71">
      <formula>$G8="en cours"</formula>
    </cfRule>
    <cfRule type="expression" dxfId="3172" priority="72">
      <formula>$G8="non compris"</formula>
    </cfRule>
  </conditionalFormatting>
  <conditionalFormatting sqref="C29:C45">
    <cfRule type="expression" dxfId="3171" priority="67">
      <formula>$G29="réalisé"</formula>
    </cfRule>
    <cfRule type="expression" dxfId="3170" priority="68">
      <formula>$G29="en cours"</formula>
    </cfRule>
    <cfRule type="expression" dxfId="3169" priority="69">
      <formula>$G29="non compris"</formula>
    </cfRule>
  </conditionalFormatting>
  <conditionalFormatting sqref="C55:F58">
    <cfRule type="expression" dxfId="3168" priority="66">
      <formula>$F55="réalisé"</formula>
    </cfRule>
  </conditionalFormatting>
  <conditionalFormatting sqref="G9">
    <cfRule type="expression" dxfId="3167" priority="65">
      <formula>$G$10="réalisé"</formula>
    </cfRule>
  </conditionalFormatting>
  <conditionalFormatting sqref="G10:G14">
    <cfRule type="expression" dxfId="3166" priority="64">
      <formula>$G$15="réalisé"</formula>
    </cfRule>
  </conditionalFormatting>
  <conditionalFormatting sqref="G20:G21">
    <cfRule type="expression" dxfId="3165" priority="63">
      <formula>$G$22="réalisé"</formula>
    </cfRule>
  </conditionalFormatting>
  <conditionalFormatting sqref="G30">
    <cfRule type="expression" dxfId="3164" priority="62">
      <formula>$G$31="réalisé"</formula>
    </cfRule>
  </conditionalFormatting>
  <conditionalFormatting sqref="D29">
    <cfRule type="expression" dxfId="3163" priority="59">
      <formula>$G29="réalisé"</formula>
    </cfRule>
    <cfRule type="expression" dxfId="3162" priority="60">
      <formula>$G29="en cours"</formula>
    </cfRule>
    <cfRule type="expression" dxfId="3161" priority="61">
      <formula>$G29="non compris"</formula>
    </cfRule>
  </conditionalFormatting>
  <conditionalFormatting sqref="D31">
    <cfRule type="expression" dxfId="3160" priority="56">
      <formula>$G31="réalisé"</formula>
    </cfRule>
    <cfRule type="expression" dxfId="3159" priority="57">
      <formula>$G31="en cours"</formula>
    </cfRule>
    <cfRule type="expression" dxfId="3158" priority="58">
      <formula>$G31="non compris"</formula>
    </cfRule>
  </conditionalFormatting>
  <conditionalFormatting sqref="D33">
    <cfRule type="expression" dxfId="3157" priority="53">
      <formula>$G33="réalisé"</formula>
    </cfRule>
    <cfRule type="expression" dxfId="3156" priority="54">
      <formula>$G33="en cours"</formula>
    </cfRule>
    <cfRule type="expression" dxfId="3155" priority="55">
      <formula>$G33="non compris"</formula>
    </cfRule>
  </conditionalFormatting>
  <conditionalFormatting sqref="D35">
    <cfRule type="expression" dxfId="3154" priority="50">
      <formula>$G35="réalisé"</formula>
    </cfRule>
    <cfRule type="expression" dxfId="3153" priority="51">
      <formula>$G35="en cours"</formula>
    </cfRule>
    <cfRule type="expression" dxfId="3152" priority="52">
      <formula>$G35="non compris"</formula>
    </cfRule>
  </conditionalFormatting>
  <conditionalFormatting sqref="D37">
    <cfRule type="expression" dxfId="3151" priority="47">
      <formula>$G37="réalisé"</formula>
    </cfRule>
    <cfRule type="expression" dxfId="3150" priority="48">
      <formula>$G37="en cours"</formula>
    </cfRule>
    <cfRule type="expression" dxfId="3149" priority="49">
      <formula>$G37="non compris"</formula>
    </cfRule>
  </conditionalFormatting>
  <conditionalFormatting sqref="D39">
    <cfRule type="expression" dxfId="3148" priority="44">
      <formula>$G39="réalisé"</formula>
    </cfRule>
    <cfRule type="expression" dxfId="3147" priority="45">
      <formula>$G39="en cours"</formula>
    </cfRule>
    <cfRule type="expression" dxfId="3146" priority="46">
      <formula>$G39="non compris"</formula>
    </cfRule>
  </conditionalFormatting>
  <conditionalFormatting sqref="D41">
    <cfRule type="expression" dxfId="3145" priority="41">
      <formula>$G41="réalisé"</formula>
    </cfRule>
    <cfRule type="expression" dxfId="3144" priority="42">
      <formula>$G41="en cours"</formula>
    </cfRule>
    <cfRule type="expression" dxfId="3143" priority="43">
      <formula>$G41="non compris"</formula>
    </cfRule>
  </conditionalFormatting>
  <conditionalFormatting sqref="D44:D45">
    <cfRule type="expression" dxfId="3142" priority="38">
      <formula>$G44="réalisé"</formula>
    </cfRule>
    <cfRule type="expression" dxfId="3141" priority="39">
      <formula>$G44="en cours"</formula>
    </cfRule>
    <cfRule type="expression" dxfId="3140" priority="40">
      <formula>$G44="non compris"</formula>
    </cfRule>
  </conditionalFormatting>
  <conditionalFormatting sqref="D30">
    <cfRule type="expression" dxfId="3139" priority="35">
      <formula>$G30="réalisé"</formula>
    </cfRule>
    <cfRule type="expression" dxfId="3138" priority="36">
      <formula>$G30="en cours"</formula>
    </cfRule>
    <cfRule type="expression" dxfId="3137" priority="37">
      <formula>$G30="non compris"</formula>
    </cfRule>
  </conditionalFormatting>
  <conditionalFormatting sqref="D32">
    <cfRule type="expression" dxfId="3136" priority="32">
      <formula>$G32="réalisé"</formula>
    </cfRule>
    <cfRule type="expression" dxfId="3135" priority="33">
      <formula>$G32="en cours"</formula>
    </cfRule>
    <cfRule type="expression" dxfId="3134" priority="34">
      <formula>$G32="non compris"</formula>
    </cfRule>
  </conditionalFormatting>
  <conditionalFormatting sqref="D34">
    <cfRule type="expression" dxfId="3133" priority="29">
      <formula>$G34="réalisé"</formula>
    </cfRule>
    <cfRule type="expression" dxfId="3132" priority="30">
      <formula>$G34="en cours"</formula>
    </cfRule>
    <cfRule type="expression" dxfId="3131" priority="31">
      <formula>$G34="non compris"</formula>
    </cfRule>
  </conditionalFormatting>
  <conditionalFormatting sqref="D36">
    <cfRule type="expression" dxfId="3130" priority="26">
      <formula>$G36="réalisé"</formula>
    </cfRule>
    <cfRule type="expression" dxfId="3129" priority="27">
      <formula>$G36="en cours"</formula>
    </cfRule>
    <cfRule type="expression" dxfId="3128" priority="28">
      <formula>$G36="non compris"</formula>
    </cfRule>
  </conditionalFormatting>
  <conditionalFormatting sqref="D38">
    <cfRule type="expression" dxfId="3127" priority="23">
      <formula>$G38="réalisé"</formula>
    </cfRule>
    <cfRule type="expression" dxfId="3126" priority="24">
      <formula>$G38="en cours"</formula>
    </cfRule>
    <cfRule type="expression" dxfId="3125" priority="25">
      <formula>$G38="non compris"</formula>
    </cfRule>
  </conditionalFormatting>
  <conditionalFormatting sqref="D42:D43">
    <cfRule type="expression" dxfId="3124" priority="17">
      <formula>$G42="réalisé"</formula>
    </cfRule>
    <cfRule type="expression" dxfId="3123" priority="18">
      <formula>$G42="en cours"</formula>
    </cfRule>
    <cfRule type="expression" dxfId="3122" priority="19">
      <formula>$G42="non compris"</formula>
    </cfRule>
  </conditionalFormatting>
  <conditionalFormatting sqref="D50">
    <cfRule type="expression" dxfId="3121" priority="14">
      <formula>$G50="réalisé"</formula>
    </cfRule>
    <cfRule type="expression" dxfId="3120" priority="15">
      <formula>$G50="en cours"</formula>
    </cfRule>
    <cfRule type="expression" dxfId="3119" priority="16">
      <formula>$G50="non compris"</formula>
    </cfRule>
  </conditionalFormatting>
  <conditionalFormatting sqref="D49">
    <cfRule type="expression" dxfId="3118" priority="11">
      <formula>$G49="réalisé"</formula>
    </cfRule>
    <cfRule type="expression" dxfId="3117" priority="12">
      <formula>$G49="en cours"</formula>
    </cfRule>
    <cfRule type="expression" dxfId="3116" priority="13">
      <formula>$G49="non compris"</formula>
    </cfRule>
  </conditionalFormatting>
  <conditionalFormatting sqref="D48">
    <cfRule type="expression" dxfId="3115" priority="8">
      <formula>$G48="réalisé"</formula>
    </cfRule>
    <cfRule type="expression" dxfId="3114" priority="9">
      <formula>$G48="en cours"</formula>
    </cfRule>
    <cfRule type="expression" dxfId="3113" priority="10">
      <formula>$G48="non compris"</formula>
    </cfRule>
  </conditionalFormatting>
  <conditionalFormatting sqref="D51">
    <cfRule type="expression" dxfId="3112" priority="5">
      <formula>$G51="réalisé"</formula>
    </cfRule>
    <cfRule type="expression" dxfId="3111" priority="6">
      <formula>$G51="en cours"</formula>
    </cfRule>
    <cfRule type="expression" dxfId="3110" priority="7">
      <formula>$G51="non compris"</formula>
    </cfRule>
  </conditionalFormatting>
  <conditionalFormatting sqref="D8:D26">
    <cfRule type="expression" dxfId="3109" priority="4">
      <formula>$D$8="NON CONCERNÉ"</formula>
    </cfRule>
  </conditionalFormatting>
  <conditionalFormatting sqref="D40">
    <cfRule type="expression" dxfId="3108" priority="1">
      <formula>$G40="réalisé"</formula>
    </cfRule>
    <cfRule type="expression" dxfId="3107" priority="2">
      <formula>$G40="en cours"</formula>
    </cfRule>
    <cfRule type="expression" dxfId="3106" priority="3">
      <formula>$G40="non compris"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8:D26 D29:D45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4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00B050"/>
    <pageSetUpPr fitToPage="1"/>
  </sheetPr>
  <dimension ref="A1:I74"/>
  <sheetViews>
    <sheetView topLeftCell="A33" zoomScaleNormal="100" workbookViewId="0">
      <selection activeCell="B38" sqref="B38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3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7" t="s">
        <v>0</v>
      </c>
      <c r="B1" s="378"/>
      <c r="C1" s="378"/>
      <c r="D1" s="378"/>
      <c r="E1" s="378"/>
      <c r="F1" s="378"/>
      <c r="G1" s="378"/>
      <c r="H1" s="1" t="s">
        <v>1</v>
      </c>
      <c r="I1" s="3">
        <f ca="1">INT(MOD(INT((LISTE!D1-2)/7)+0.6,52+5/28))+1</f>
        <v>41</v>
      </c>
    </row>
    <row r="2" spans="1:9" x14ac:dyDescent="0.25">
      <c r="A2" s="390" t="s">
        <v>2</v>
      </c>
      <c r="B2" s="391"/>
      <c r="C2" s="70" t="str">
        <f ca="1">MID(CELL("nomfichier",A1),FIND("]",CELL("nomfichier",A1),1)+1,30)</f>
        <v>BOUDISS</v>
      </c>
      <c r="D2" s="4" t="s">
        <v>72</v>
      </c>
      <c r="E2" s="379">
        <v>43223</v>
      </c>
      <c r="F2" s="379"/>
      <c r="G2" s="5"/>
      <c r="H2" s="380" t="s">
        <v>143</v>
      </c>
      <c r="I2" s="381"/>
    </row>
    <row r="3" spans="1:9" ht="15.75" x14ac:dyDescent="0.25">
      <c r="A3" s="392" t="s">
        <v>106</v>
      </c>
      <c r="B3" s="384"/>
      <c r="C3" s="6" t="s">
        <v>277</v>
      </c>
      <c r="D3" s="7" t="s">
        <v>3</v>
      </c>
      <c r="E3" s="382">
        <v>43368</v>
      </c>
      <c r="F3" s="383"/>
      <c r="G3" s="8"/>
      <c r="H3" s="384" t="str">
        <f ca="1">DATEDIF(E3,TODAY(),"m")&amp;"mois"&amp;-DATEDIF(E3,TODAY(),"md")&amp;"jours"</f>
        <v>0mois-17jours</v>
      </c>
      <c r="I3" s="385"/>
    </row>
    <row r="4" spans="1:9" ht="18.75" x14ac:dyDescent="0.25">
      <c r="A4" s="69" t="s">
        <v>117</v>
      </c>
      <c r="B4" s="129"/>
      <c r="C4" s="9"/>
      <c r="D4" s="10" t="s">
        <v>4</v>
      </c>
      <c r="E4" s="386">
        <f>E3+60</f>
        <v>43428</v>
      </c>
      <c r="F4" s="386"/>
      <c r="G4" s="11"/>
      <c r="H4" s="12"/>
      <c r="I4" s="13"/>
    </row>
    <row r="5" spans="1:9" x14ac:dyDescent="0.25">
      <c r="A5" s="393" t="s">
        <v>76</v>
      </c>
      <c r="B5" s="394"/>
      <c r="C5" s="15"/>
      <c r="D5" s="16"/>
      <c r="E5" s="15"/>
      <c r="F5" s="15"/>
      <c r="G5" s="17"/>
      <c r="H5" s="18"/>
      <c r="I5" s="19"/>
    </row>
    <row r="6" spans="1:9" ht="18.75" x14ac:dyDescent="0.3">
      <c r="A6" s="395" t="s">
        <v>75</v>
      </c>
      <c r="B6" s="396"/>
      <c r="C6" s="387" t="s">
        <v>145</v>
      </c>
      <c r="D6" s="388"/>
      <c r="E6" s="388"/>
      <c r="F6" s="388"/>
      <c r="G6" s="388"/>
      <c r="H6" s="389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ht="15" customHeight="1" x14ac:dyDescent="0.25">
      <c r="A8" s="122"/>
      <c r="B8" s="200"/>
      <c r="C8" s="28" t="s">
        <v>124</v>
      </c>
      <c r="D8" s="52" t="s">
        <v>271</v>
      </c>
      <c r="E8" s="180">
        <v>39</v>
      </c>
      <c r="F8" s="25"/>
      <c r="G8" s="26" t="s">
        <v>36</v>
      </c>
      <c r="H8" s="27"/>
      <c r="I8" s="19"/>
    </row>
    <row r="9" spans="1:9" x14ac:dyDescent="0.25">
      <c r="A9" s="122"/>
      <c r="B9" s="130"/>
      <c r="C9" s="28" t="s">
        <v>131</v>
      </c>
      <c r="D9" s="53" t="str">
        <f>D8</f>
        <v>HABITAT DE L'ORANGERIE</v>
      </c>
      <c r="E9" s="181">
        <f>E8+1</f>
        <v>40</v>
      </c>
      <c r="F9" s="29"/>
      <c r="G9" s="30" t="s">
        <v>36</v>
      </c>
      <c r="H9" s="27"/>
      <c r="I9" s="19"/>
    </row>
    <row r="10" spans="1:9" ht="15" customHeight="1" x14ac:dyDescent="0.25">
      <c r="A10" s="131"/>
      <c r="B10" s="182"/>
      <c r="C10" s="28" t="s">
        <v>132</v>
      </c>
      <c r="D10" s="52" t="str">
        <f>D9</f>
        <v>HABITAT DE L'ORANGERIE</v>
      </c>
      <c r="E10" s="180">
        <v>41</v>
      </c>
      <c r="F10" s="31"/>
      <c r="G10" s="30" t="s">
        <v>35</v>
      </c>
      <c r="H10" s="27"/>
      <c r="I10" s="19"/>
    </row>
    <row r="11" spans="1:9" ht="15" customHeight="1" x14ac:dyDescent="0.25">
      <c r="A11" s="131"/>
      <c r="B11" s="132"/>
      <c r="C11" s="28" t="s">
        <v>133</v>
      </c>
      <c r="D11" s="54" t="str">
        <f>D8</f>
        <v>HABITAT DE L'ORANGERIE</v>
      </c>
      <c r="E11" s="180">
        <f>E10+1</f>
        <v>42</v>
      </c>
      <c r="F11" s="31"/>
      <c r="G11" s="30" t="s">
        <v>9</v>
      </c>
      <c r="H11" s="27"/>
      <c r="I11" s="19"/>
    </row>
    <row r="12" spans="1:9" ht="15" customHeight="1" x14ac:dyDescent="0.25">
      <c r="A12" s="144">
        <v>13768.87</v>
      </c>
      <c r="B12" s="143">
        <f>A12-3500</f>
        <v>10268.870000000001</v>
      </c>
      <c r="C12" s="28" t="s">
        <v>134</v>
      </c>
      <c r="D12" s="54" t="str">
        <f t="shared" ref="D12:D14" si="0">D9</f>
        <v>HABITAT DE L'ORANGERIE</v>
      </c>
      <c r="E12" s="180">
        <v>42</v>
      </c>
      <c r="F12" s="31"/>
      <c r="G12" s="30" t="s">
        <v>9</v>
      </c>
      <c r="H12" s="27"/>
      <c r="I12" s="19"/>
    </row>
    <row r="13" spans="1:9" ht="15" customHeight="1" x14ac:dyDescent="0.25">
      <c r="A13" s="131"/>
      <c r="B13" s="132"/>
      <c r="C13" s="28" t="s">
        <v>135</v>
      </c>
      <c r="D13" s="54" t="str">
        <f t="shared" si="0"/>
        <v>HABITAT DE L'ORANGERIE</v>
      </c>
      <c r="E13" s="180">
        <f>E12+1</f>
        <v>43</v>
      </c>
      <c r="F13" s="31"/>
      <c r="G13" s="30" t="s">
        <v>9</v>
      </c>
      <c r="H13" s="27"/>
      <c r="I13" s="19"/>
    </row>
    <row r="14" spans="1:9" ht="15" customHeight="1" x14ac:dyDescent="0.25">
      <c r="A14" s="131"/>
      <c r="B14" s="132"/>
      <c r="C14" s="28" t="s">
        <v>136</v>
      </c>
      <c r="D14" s="54" t="str">
        <f t="shared" si="0"/>
        <v>HABITAT DE L'ORANGERIE</v>
      </c>
      <c r="E14" s="180">
        <f>E13</f>
        <v>43</v>
      </c>
      <c r="F14" s="31"/>
      <c r="G14" s="30" t="s">
        <v>9</v>
      </c>
      <c r="H14" s="27"/>
      <c r="I14" s="19"/>
    </row>
    <row r="15" spans="1:9" x14ac:dyDescent="0.25">
      <c r="A15" s="131"/>
      <c r="B15" s="132"/>
      <c r="C15" s="28" t="s">
        <v>62</v>
      </c>
      <c r="D15" s="53" t="s">
        <v>64</v>
      </c>
      <c r="E15" s="24">
        <f>E10+1</f>
        <v>42</v>
      </c>
      <c r="F15" s="29"/>
      <c r="G15" s="30" t="s">
        <v>70</v>
      </c>
      <c r="H15" s="27"/>
      <c r="I15" s="19"/>
    </row>
    <row r="16" spans="1:9" x14ac:dyDescent="0.25">
      <c r="A16" s="131"/>
      <c r="B16" s="132"/>
      <c r="C16" s="28" t="s">
        <v>10</v>
      </c>
      <c r="D16" s="52" t="s">
        <v>64</v>
      </c>
      <c r="E16" s="24">
        <f>E15+1</f>
        <v>43</v>
      </c>
      <c r="F16" s="29"/>
      <c r="G16" s="30" t="s">
        <v>70</v>
      </c>
      <c r="H16" s="27"/>
      <c r="I16" s="19"/>
    </row>
    <row r="17" spans="1:9" x14ac:dyDescent="0.25">
      <c r="A17" s="131"/>
      <c r="B17" s="132"/>
      <c r="C17" s="28" t="s">
        <v>11</v>
      </c>
      <c r="D17" s="53" t="s">
        <v>176</v>
      </c>
      <c r="E17" s="24">
        <v>43</v>
      </c>
      <c r="F17" s="29"/>
      <c r="G17" s="30" t="s">
        <v>9</v>
      </c>
      <c r="H17" s="27"/>
      <c r="I17" s="19"/>
    </row>
    <row r="18" spans="1:9" x14ac:dyDescent="0.25">
      <c r="A18" s="144">
        <v>677.26</v>
      </c>
      <c r="B18" s="143">
        <f>A18</f>
        <v>677.26</v>
      </c>
      <c r="C18" s="28" t="s">
        <v>12</v>
      </c>
      <c r="D18" s="52" t="s">
        <v>40</v>
      </c>
      <c r="E18" s="180">
        <f>IF(E13="","",MOD(E17+1,52))</f>
        <v>44</v>
      </c>
      <c r="F18" s="29"/>
      <c r="G18" s="30" t="s">
        <v>9</v>
      </c>
      <c r="H18" s="27"/>
      <c r="I18" s="19"/>
    </row>
    <row r="19" spans="1:9" x14ac:dyDescent="0.25">
      <c r="A19" s="131"/>
      <c r="B19" s="132"/>
      <c r="C19" s="28" t="s">
        <v>73</v>
      </c>
      <c r="D19" s="53" t="str">
        <f>D10</f>
        <v>HABITAT DE L'ORANGERIE</v>
      </c>
      <c r="E19" s="24">
        <f>IF(E18="","",MOD(E18+1,52))</f>
        <v>45</v>
      </c>
      <c r="F19" s="29"/>
      <c r="G19" s="30" t="s">
        <v>9</v>
      </c>
      <c r="H19" s="27"/>
      <c r="I19" s="19"/>
    </row>
    <row r="20" spans="1:9" x14ac:dyDescent="0.25">
      <c r="A20" s="142">
        <v>787.67</v>
      </c>
      <c r="B20" s="143">
        <f>A20</f>
        <v>787.67</v>
      </c>
      <c r="C20" s="28" t="s">
        <v>59</v>
      </c>
      <c r="D20" s="52" t="s">
        <v>42</v>
      </c>
      <c r="E20" s="24">
        <f>IF(E19="","",MOD(E19+1,52))</f>
        <v>46</v>
      </c>
      <c r="F20" s="29"/>
      <c r="G20" s="30" t="s">
        <v>9</v>
      </c>
      <c r="H20" s="27"/>
      <c r="I20" s="19"/>
    </row>
    <row r="21" spans="1:9" x14ac:dyDescent="0.25">
      <c r="A21" s="142">
        <v>701.95</v>
      </c>
      <c r="B21" s="143">
        <f>A21</f>
        <v>701.95</v>
      </c>
      <c r="C21" s="28" t="s">
        <v>60</v>
      </c>
      <c r="D21" s="54" t="s">
        <v>42</v>
      </c>
      <c r="E21" s="24">
        <f>E20</f>
        <v>46</v>
      </c>
      <c r="F21" s="29"/>
      <c r="G21" s="30" t="s">
        <v>9</v>
      </c>
      <c r="H21" s="50"/>
      <c r="I21" s="19"/>
    </row>
    <row r="22" spans="1:9" x14ac:dyDescent="0.25">
      <c r="A22" s="131"/>
      <c r="B22" s="132"/>
      <c r="C22" s="185" t="s">
        <v>13</v>
      </c>
      <c r="D22" s="186" t="s">
        <v>68</v>
      </c>
      <c r="E22" s="187">
        <f>E20</f>
        <v>46</v>
      </c>
      <c r="F22" s="188"/>
      <c r="G22" s="189" t="s">
        <v>9</v>
      </c>
      <c r="H22" s="190"/>
      <c r="I22" s="19"/>
    </row>
    <row r="23" spans="1:9" x14ac:dyDescent="0.25">
      <c r="A23" s="144"/>
      <c r="B23" s="143">
        <f>A23</f>
        <v>0</v>
      </c>
      <c r="C23" s="32" t="s">
        <v>138</v>
      </c>
      <c r="D23" s="52" t="s">
        <v>45</v>
      </c>
      <c r="E23" s="24">
        <f>IF(E20="","",MOD(E20+2,52))</f>
        <v>48</v>
      </c>
      <c r="F23" s="29"/>
      <c r="G23" s="30" t="s">
        <v>9</v>
      </c>
      <c r="H23" s="27"/>
      <c r="I23" s="19"/>
    </row>
    <row r="24" spans="1:9" x14ac:dyDescent="0.25">
      <c r="A24" s="131"/>
      <c r="B24" s="132"/>
      <c r="C24" s="28" t="s">
        <v>14</v>
      </c>
      <c r="D24" s="53" t="str">
        <f>D17</f>
        <v>INDUSTRIE SERVICE</v>
      </c>
      <c r="E24" s="24">
        <f>IF(E20="","",MOD(E20+2,52))</f>
        <v>48</v>
      </c>
      <c r="F24" s="29"/>
      <c r="G24" s="30" t="s">
        <v>9</v>
      </c>
      <c r="H24" s="27"/>
      <c r="I24" s="19"/>
    </row>
    <row r="25" spans="1:9" x14ac:dyDescent="0.25">
      <c r="A25" s="143"/>
      <c r="B25" s="143">
        <f>A25</f>
        <v>0</v>
      </c>
      <c r="C25" s="183" t="s">
        <v>137</v>
      </c>
      <c r="D25" s="53" t="s">
        <v>56</v>
      </c>
      <c r="E25" s="24">
        <f>E23</f>
        <v>48</v>
      </c>
      <c r="F25" s="29"/>
      <c r="G25" s="72" t="s">
        <v>9</v>
      </c>
      <c r="H25" s="27"/>
      <c r="I25" s="19"/>
    </row>
    <row r="26" spans="1:9" x14ac:dyDescent="0.25">
      <c r="A26" s="131"/>
      <c r="B26" s="132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145"/>
      <c r="B27" s="146"/>
      <c r="C27" s="387" t="s">
        <v>144</v>
      </c>
      <c r="D27" s="388"/>
      <c r="E27" s="388"/>
      <c r="F27" s="388"/>
      <c r="G27" s="388"/>
      <c r="H27" s="389"/>
      <c r="I27" s="19"/>
    </row>
    <row r="28" spans="1:9" ht="15.75" thickBot="1" x14ac:dyDescent="0.3">
      <c r="A28" s="131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44">
        <v>620.74</v>
      </c>
      <c r="B29" s="143">
        <f>A29</f>
        <v>620.74</v>
      </c>
      <c r="C29" s="78" t="s">
        <v>66</v>
      </c>
      <c r="D29" s="52" t="s">
        <v>90</v>
      </c>
      <c r="E29" s="79">
        <f>IF(E24="","",MOD(E24+1,52))</f>
        <v>49</v>
      </c>
      <c r="F29" s="25"/>
      <c r="G29" s="26" t="s">
        <v>9</v>
      </c>
      <c r="H29" s="27"/>
      <c r="I29" s="19"/>
    </row>
    <row r="30" spans="1:9" x14ac:dyDescent="0.25">
      <c r="A30" s="144">
        <v>1563.04</v>
      </c>
      <c r="B30" s="143">
        <f>A30</f>
        <v>1563.04</v>
      </c>
      <c r="C30" s="28" t="s">
        <v>67</v>
      </c>
      <c r="D30" s="53" t="s">
        <v>47</v>
      </c>
      <c r="E30" s="24">
        <f>IF(E29="","",MOD(E29+1,52))</f>
        <v>50</v>
      </c>
      <c r="F30" s="29"/>
      <c r="G30" s="30"/>
      <c r="H30" s="27"/>
      <c r="I30" s="19"/>
    </row>
    <row r="31" spans="1:9" x14ac:dyDescent="0.25">
      <c r="A31" s="131"/>
      <c r="B31" s="132"/>
      <c r="C31" s="62" t="s">
        <v>16</v>
      </c>
      <c r="D31" s="52" t="str">
        <f>D29</f>
        <v>ELECTRO HECKER</v>
      </c>
      <c r="E31" s="24">
        <f>IF(E30="","",MOD(E30+2,52))</f>
        <v>0</v>
      </c>
      <c r="F31" s="29"/>
      <c r="G31" s="30"/>
      <c r="H31" s="27"/>
      <c r="I31" s="19"/>
    </row>
    <row r="32" spans="1:9" x14ac:dyDescent="0.25">
      <c r="A32" s="143"/>
      <c r="B32" s="143">
        <f>A32</f>
        <v>0</v>
      </c>
      <c r="C32" s="80" t="s">
        <v>17</v>
      </c>
      <c r="D32" s="53" t="s">
        <v>64</v>
      </c>
      <c r="E32" s="24">
        <f>IF(E30="","",MOD(E30+2,52))</f>
        <v>0</v>
      </c>
      <c r="F32" s="29"/>
      <c r="G32" s="30" t="s">
        <v>70</v>
      </c>
      <c r="H32" s="27"/>
      <c r="I32" s="19"/>
    </row>
    <row r="33" spans="1:9" x14ac:dyDescent="0.25">
      <c r="A33" s="143"/>
      <c r="B33" s="143"/>
      <c r="C33" s="62" t="s">
        <v>140</v>
      </c>
      <c r="D33" s="52" t="s">
        <v>52</v>
      </c>
      <c r="E33" s="24">
        <f>IF(E32="","",MOD(E32+1,52))</f>
        <v>1</v>
      </c>
      <c r="F33" s="29"/>
      <c r="G33" s="30"/>
      <c r="H33" s="27"/>
      <c r="I33" s="19"/>
    </row>
    <row r="34" spans="1:9" x14ac:dyDescent="0.25">
      <c r="A34" s="143"/>
      <c r="B34" s="143">
        <f>A34</f>
        <v>0</v>
      </c>
      <c r="C34" s="28"/>
      <c r="D34" s="53"/>
      <c r="E34" s="24">
        <f>IF(E32="","",MOD(E32+1,52))</f>
        <v>1</v>
      </c>
      <c r="F34" s="29"/>
      <c r="G34" s="30"/>
      <c r="H34" s="27"/>
      <c r="I34" s="19"/>
    </row>
    <row r="35" spans="1:9" x14ac:dyDescent="0.25">
      <c r="A35" s="131"/>
      <c r="B35" s="13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143"/>
      <c r="B36" s="143">
        <f>A36</f>
        <v>0</v>
      </c>
      <c r="C36" s="28" t="s">
        <v>19</v>
      </c>
      <c r="D36" s="53" t="s">
        <v>52</v>
      </c>
      <c r="E36" s="24">
        <f>IF(E34="","",MOD(E34+1,52))</f>
        <v>2</v>
      </c>
      <c r="F36" s="29"/>
      <c r="G36" s="30"/>
      <c r="H36" s="27"/>
      <c r="I36" s="19"/>
    </row>
    <row r="37" spans="1:9" x14ac:dyDescent="0.25">
      <c r="A37" s="131"/>
      <c r="B37" s="132"/>
      <c r="C37" s="28" t="s">
        <v>20</v>
      </c>
      <c r="D37" s="52" t="str">
        <f>D30</f>
        <v>SOARES</v>
      </c>
      <c r="E37" s="24">
        <f>IF(E36="","",MOD(E36+1,52))</f>
        <v>3</v>
      </c>
      <c r="F37" s="29"/>
      <c r="G37" s="30"/>
      <c r="H37" s="27"/>
      <c r="I37" s="19"/>
    </row>
    <row r="38" spans="1:9" x14ac:dyDescent="0.25">
      <c r="A38" s="131"/>
      <c r="B38" s="132"/>
      <c r="C38" s="28" t="s">
        <v>21</v>
      </c>
      <c r="D38" s="53" t="str">
        <f>D29</f>
        <v>ELECTRO HECKER</v>
      </c>
      <c r="E38" s="24">
        <f>IF(E37="","",MOD(E37+1,52))</f>
        <v>4</v>
      </c>
      <c r="F38" s="29"/>
      <c r="G38" s="30" t="s">
        <v>9</v>
      </c>
      <c r="H38" s="27"/>
      <c r="I38" s="19"/>
    </row>
    <row r="39" spans="1:9" x14ac:dyDescent="0.25">
      <c r="A39" s="131"/>
      <c r="B39" s="132"/>
      <c r="C39" s="28" t="s">
        <v>22</v>
      </c>
      <c r="D39" s="52" t="str">
        <f>D32</f>
        <v>A CHARGE CLIENT</v>
      </c>
      <c r="E39" s="24">
        <f>IF(E37="","",MOD(E37+1,52))</f>
        <v>4</v>
      </c>
      <c r="F39" s="29"/>
      <c r="G39" s="30" t="s">
        <v>70</v>
      </c>
      <c r="H39" s="27"/>
      <c r="I39" s="19"/>
    </row>
    <row r="40" spans="1:9" x14ac:dyDescent="0.25">
      <c r="A40" s="131"/>
      <c r="B40" s="132"/>
      <c r="C40" s="28" t="s">
        <v>23</v>
      </c>
      <c r="D40" s="53" t="s">
        <v>64</v>
      </c>
      <c r="E40" s="24">
        <f>E36+4</f>
        <v>6</v>
      </c>
      <c r="F40" s="29"/>
      <c r="G40" s="30" t="s">
        <v>70</v>
      </c>
      <c r="H40" s="27"/>
      <c r="I40" s="19"/>
    </row>
    <row r="41" spans="1:9" x14ac:dyDescent="0.25">
      <c r="A41" s="131"/>
      <c r="B41" s="132"/>
      <c r="C41" s="28" t="s">
        <v>24</v>
      </c>
      <c r="D41" s="52" t="s">
        <v>64</v>
      </c>
      <c r="E41" s="24">
        <f>E39+1</f>
        <v>5</v>
      </c>
      <c r="F41" s="29"/>
      <c r="G41" s="30" t="s">
        <v>70</v>
      </c>
      <c r="H41" s="27"/>
      <c r="I41" s="19"/>
    </row>
    <row r="42" spans="1:9" x14ac:dyDescent="0.25">
      <c r="A42" s="131"/>
      <c r="B42" s="132"/>
      <c r="C42" s="28" t="s">
        <v>302</v>
      </c>
      <c r="D42" s="53" t="s">
        <v>58</v>
      </c>
      <c r="E42" s="24">
        <f>IF(E40="","",MOD(E40+2,52))</f>
        <v>8</v>
      </c>
      <c r="F42" s="29"/>
      <c r="G42" s="30"/>
      <c r="H42" s="27"/>
      <c r="I42" s="19"/>
    </row>
    <row r="43" spans="1:9" x14ac:dyDescent="0.25">
      <c r="A43" s="143"/>
      <c r="B43" s="143">
        <f>A43</f>
        <v>0</v>
      </c>
      <c r="C43" s="81" t="s">
        <v>147</v>
      </c>
      <c r="D43" s="52" t="s">
        <v>64</v>
      </c>
      <c r="E43" s="82">
        <f>E44</f>
        <v>8</v>
      </c>
      <c r="F43" s="83"/>
      <c r="G43" s="72" t="s">
        <v>70</v>
      </c>
      <c r="H43" s="27"/>
      <c r="I43" s="19"/>
    </row>
    <row r="44" spans="1:9" x14ac:dyDescent="0.25">
      <c r="A44" s="143"/>
      <c r="B44" s="143">
        <f>A44</f>
        <v>0</v>
      </c>
      <c r="C44" s="81" t="s">
        <v>139</v>
      </c>
      <c r="D44" s="193" t="s">
        <v>64</v>
      </c>
      <c r="E44" s="82">
        <f>IF(E40="","",MOD(E40+2,52))</f>
        <v>8</v>
      </c>
      <c r="F44" s="83"/>
      <c r="G44" s="72" t="s">
        <v>70</v>
      </c>
      <c r="H44" s="194"/>
      <c r="I44" s="19"/>
    </row>
    <row r="45" spans="1:9" x14ac:dyDescent="0.25">
      <c r="A45" s="131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145"/>
      <c r="B46" s="146"/>
      <c r="C46" s="387" t="s">
        <v>146</v>
      </c>
      <c r="D46" s="388"/>
      <c r="E46" s="388"/>
      <c r="F46" s="388"/>
      <c r="G46" s="388"/>
      <c r="H46" s="389"/>
      <c r="I46" s="19"/>
    </row>
    <row r="47" spans="1:9" ht="15.75" thickBot="1" x14ac:dyDescent="0.3">
      <c r="A47" s="131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144"/>
      <c r="B48" s="143">
        <f>A48</f>
        <v>0</v>
      </c>
      <c r="C48" s="88" t="s">
        <v>26</v>
      </c>
      <c r="D48" s="52" t="s">
        <v>57</v>
      </c>
      <c r="E48" s="89">
        <f>E32+1</f>
        <v>1</v>
      </c>
      <c r="F48" s="25"/>
      <c r="G48" s="26"/>
      <c r="H48" s="27"/>
      <c r="I48" s="19"/>
    </row>
    <row r="49" spans="1:9" x14ac:dyDescent="0.25">
      <c r="A49" s="133"/>
      <c r="B49" s="173"/>
      <c r="C49" s="102" t="s">
        <v>69</v>
      </c>
      <c r="D49" s="103" t="s">
        <v>64</v>
      </c>
      <c r="E49" s="104">
        <f>E48</f>
        <v>1</v>
      </c>
      <c r="F49" s="105"/>
      <c r="G49" s="106" t="s">
        <v>70</v>
      </c>
      <c r="H49" s="27"/>
      <c r="I49" s="19"/>
    </row>
    <row r="50" spans="1:9" x14ac:dyDescent="0.25">
      <c r="A50" s="133"/>
      <c r="B50" s="173"/>
      <c r="C50" s="92" t="s">
        <v>61</v>
      </c>
      <c r="D50" s="99" t="s">
        <v>68</v>
      </c>
      <c r="E50" s="101">
        <f>E48+1</f>
        <v>2</v>
      </c>
      <c r="F50" s="95"/>
      <c r="G50" s="96" t="s">
        <v>9</v>
      </c>
      <c r="H50" s="97"/>
      <c r="I50" s="19"/>
    </row>
    <row r="51" spans="1:9" x14ac:dyDescent="0.25">
      <c r="A51" s="133">
        <f>SUM(A12:A50)</f>
        <v>18119.530000000002</v>
      </c>
      <c r="B51" s="173"/>
      <c r="C51" s="91" t="s">
        <v>27</v>
      </c>
      <c r="D51" s="52" t="s">
        <v>64</v>
      </c>
      <c r="E51" s="90">
        <f>E48+3</f>
        <v>4</v>
      </c>
      <c r="F51" s="29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7" t="s">
        <v>142</v>
      </c>
      <c r="I54" s="19"/>
    </row>
    <row r="55" spans="1:9" x14ac:dyDescent="0.25">
      <c r="A55" s="42"/>
      <c r="B55" s="126"/>
      <c r="C55" s="43" t="s">
        <v>122</v>
      </c>
      <c r="D55" s="107"/>
      <c r="E55" s="44"/>
      <c r="F55" s="45"/>
      <c r="G55" s="18"/>
      <c r="H55" s="398"/>
      <c r="I55" s="19"/>
    </row>
    <row r="56" spans="1:9" x14ac:dyDescent="0.25">
      <c r="A56" s="42"/>
      <c r="B56" s="126"/>
      <c r="C56" s="33" t="s">
        <v>123</v>
      </c>
      <c r="D56" s="49"/>
      <c r="E56" s="46"/>
      <c r="F56" s="2"/>
      <c r="G56" s="18"/>
      <c r="H56" s="399" t="e">
        <f>DATEDIF(E3,D58,"m")&amp;"mois"&amp;DATEDIF(E3,D58,"md")&amp;"jours"</f>
        <v>#NUM!</v>
      </c>
      <c r="I56" s="19"/>
    </row>
    <row r="57" spans="1:9" ht="15.75" thickBot="1" x14ac:dyDescent="0.3">
      <c r="A57" s="42"/>
      <c r="B57" s="126"/>
      <c r="C57" s="33" t="s">
        <v>31</v>
      </c>
      <c r="D57" s="176"/>
      <c r="E57" s="46"/>
      <c r="F57" s="2"/>
      <c r="G57" s="18"/>
      <c r="H57" s="400"/>
      <c r="I57" s="19"/>
    </row>
    <row r="58" spans="1:9" x14ac:dyDescent="0.25">
      <c r="A58" s="42"/>
      <c r="B58" s="126"/>
      <c r="C58" s="47" t="s">
        <v>32</v>
      </c>
      <c r="D58" s="184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1"/>
      <c r="D60" s="371"/>
      <c r="E60" s="371"/>
      <c r="F60" s="371"/>
      <c r="G60" s="371"/>
      <c r="H60" s="371"/>
      <c r="I60" s="372"/>
    </row>
    <row r="61" spans="1:9" x14ac:dyDescent="0.25">
      <c r="A61" s="34"/>
      <c r="B61" s="18"/>
      <c r="C61" s="373"/>
      <c r="D61" s="373"/>
      <c r="E61" s="373"/>
      <c r="F61" s="373"/>
      <c r="G61" s="373"/>
      <c r="H61" s="373"/>
      <c r="I61" s="374"/>
    </row>
    <row r="62" spans="1:9" x14ac:dyDescent="0.25">
      <c r="A62" s="34"/>
      <c r="B62" s="18"/>
      <c r="C62" s="373"/>
      <c r="D62" s="373"/>
      <c r="E62" s="373"/>
      <c r="F62" s="373"/>
      <c r="G62" s="373"/>
      <c r="H62" s="373"/>
      <c r="I62" s="374"/>
    </row>
    <row r="63" spans="1:9" x14ac:dyDescent="0.25">
      <c r="A63" s="34"/>
      <c r="B63" s="18"/>
      <c r="C63" s="373"/>
      <c r="D63" s="373"/>
      <c r="E63" s="373"/>
      <c r="F63" s="373"/>
      <c r="G63" s="373"/>
      <c r="H63" s="373"/>
      <c r="I63" s="374"/>
    </row>
    <row r="64" spans="1:9" x14ac:dyDescent="0.25">
      <c r="A64" s="34"/>
      <c r="B64" s="18"/>
      <c r="C64" s="373"/>
      <c r="D64" s="373"/>
      <c r="E64" s="373"/>
      <c r="F64" s="373"/>
      <c r="G64" s="373"/>
      <c r="H64" s="373"/>
      <c r="I64" s="374"/>
    </row>
    <row r="65" spans="1:9" x14ac:dyDescent="0.25">
      <c r="A65" s="44"/>
      <c r="B65" s="45"/>
      <c r="C65" s="375"/>
      <c r="D65" s="375"/>
      <c r="E65" s="375"/>
      <c r="F65" s="375"/>
      <c r="G65" s="375"/>
      <c r="H65" s="375"/>
      <c r="I65" s="376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H54:H55"/>
    <mergeCell ref="H56:H57"/>
    <mergeCell ref="C60:I65"/>
    <mergeCell ref="E4:F4"/>
    <mergeCell ref="A5:B5"/>
    <mergeCell ref="A6:B6"/>
    <mergeCell ref="C6:H6"/>
    <mergeCell ref="C27:H27"/>
    <mergeCell ref="C46:H46"/>
    <mergeCell ref="A1:G1"/>
    <mergeCell ref="A2:B2"/>
    <mergeCell ref="E2:F2"/>
    <mergeCell ref="H2:I2"/>
    <mergeCell ref="A3:B3"/>
    <mergeCell ref="E3:F3"/>
    <mergeCell ref="H3:I3"/>
  </mergeCells>
  <conditionalFormatting sqref="C52:G52">
    <cfRule type="expression" dxfId="3063" priority="70">
      <formula>$F52="réalisé"</formula>
    </cfRule>
  </conditionalFormatting>
  <conditionalFormatting sqref="C48:C51 E48:H51 E29:H45 C8:H26">
    <cfRule type="expression" dxfId="3062" priority="67">
      <formula>$G8="réalisé"</formula>
    </cfRule>
    <cfRule type="expression" dxfId="3061" priority="68">
      <formula>$G8="en cours"</formula>
    </cfRule>
    <cfRule type="expression" dxfId="3060" priority="69">
      <formula>$G8="non compris"</formula>
    </cfRule>
  </conditionalFormatting>
  <conditionalFormatting sqref="C29:C45">
    <cfRule type="expression" dxfId="3059" priority="64">
      <formula>$G29="réalisé"</formula>
    </cfRule>
    <cfRule type="expression" dxfId="3058" priority="65">
      <formula>$G29="en cours"</formula>
    </cfRule>
    <cfRule type="expression" dxfId="3057" priority="66">
      <formula>$G29="non compris"</formula>
    </cfRule>
  </conditionalFormatting>
  <conditionalFormatting sqref="C55:F58">
    <cfRule type="expression" dxfId="3056" priority="63">
      <formula>$F55="réalisé"</formula>
    </cfRule>
  </conditionalFormatting>
  <conditionalFormatting sqref="G9">
    <cfRule type="expression" dxfId="3055" priority="62">
      <formula>$G$10="réalisé"</formula>
    </cfRule>
  </conditionalFormatting>
  <conditionalFormatting sqref="G10:G14">
    <cfRule type="expression" dxfId="3054" priority="61">
      <formula>$G$15="réalisé"</formula>
    </cfRule>
  </conditionalFormatting>
  <conditionalFormatting sqref="G20:G21">
    <cfRule type="expression" dxfId="3053" priority="60">
      <formula>$G$22="réalisé"</formula>
    </cfRule>
  </conditionalFormatting>
  <conditionalFormatting sqref="G30">
    <cfRule type="expression" dxfId="3052" priority="59">
      <formula>$G$31="réalisé"</formula>
    </cfRule>
  </conditionalFormatting>
  <conditionalFormatting sqref="D29">
    <cfRule type="expression" dxfId="3051" priority="56">
      <formula>$G29="réalisé"</formula>
    </cfRule>
    <cfRule type="expression" dxfId="3050" priority="57">
      <formula>$G29="en cours"</formula>
    </cfRule>
    <cfRule type="expression" dxfId="3049" priority="58">
      <formula>$G29="non compris"</formula>
    </cfRule>
  </conditionalFormatting>
  <conditionalFormatting sqref="D31">
    <cfRule type="expression" dxfId="3048" priority="53">
      <formula>$G31="réalisé"</formula>
    </cfRule>
    <cfRule type="expression" dxfId="3047" priority="54">
      <formula>$G31="en cours"</formula>
    </cfRule>
    <cfRule type="expression" dxfId="3046" priority="55">
      <formula>$G31="non compris"</formula>
    </cfRule>
  </conditionalFormatting>
  <conditionalFormatting sqref="D33">
    <cfRule type="expression" dxfId="3045" priority="50">
      <formula>$G33="réalisé"</formula>
    </cfRule>
    <cfRule type="expression" dxfId="3044" priority="51">
      <formula>$G33="en cours"</formula>
    </cfRule>
    <cfRule type="expression" dxfId="3043" priority="52">
      <formula>$G33="non compris"</formula>
    </cfRule>
  </conditionalFormatting>
  <conditionalFormatting sqref="D35">
    <cfRule type="expression" dxfId="3042" priority="47">
      <formula>$G35="réalisé"</formula>
    </cfRule>
    <cfRule type="expression" dxfId="3041" priority="48">
      <formula>$G35="en cours"</formula>
    </cfRule>
    <cfRule type="expression" dxfId="3040" priority="49">
      <formula>$G35="non compris"</formula>
    </cfRule>
  </conditionalFormatting>
  <conditionalFormatting sqref="D37">
    <cfRule type="expression" dxfId="3039" priority="44">
      <formula>$G37="réalisé"</formula>
    </cfRule>
    <cfRule type="expression" dxfId="3038" priority="45">
      <formula>$G37="en cours"</formula>
    </cfRule>
    <cfRule type="expression" dxfId="3037" priority="46">
      <formula>$G37="non compris"</formula>
    </cfRule>
  </conditionalFormatting>
  <conditionalFormatting sqref="D39">
    <cfRule type="expression" dxfId="3036" priority="41">
      <formula>$G39="réalisé"</formula>
    </cfRule>
    <cfRule type="expression" dxfId="3035" priority="42">
      <formula>$G39="en cours"</formula>
    </cfRule>
    <cfRule type="expression" dxfId="3034" priority="43">
      <formula>$G39="non compris"</formula>
    </cfRule>
  </conditionalFormatting>
  <conditionalFormatting sqref="D41">
    <cfRule type="expression" dxfId="3033" priority="38">
      <formula>$G41="réalisé"</formula>
    </cfRule>
    <cfRule type="expression" dxfId="3032" priority="39">
      <formula>$G41="en cours"</formula>
    </cfRule>
    <cfRule type="expression" dxfId="3031" priority="40">
      <formula>$G41="non compris"</formula>
    </cfRule>
  </conditionalFormatting>
  <conditionalFormatting sqref="D44:D45">
    <cfRule type="expression" dxfId="3030" priority="35">
      <formula>$G44="réalisé"</formula>
    </cfRule>
    <cfRule type="expression" dxfId="3029" priority="36">
      <formula>$G44="en cours"</formula>
    </cfRule>
    <cfRule type="expression" dxfId="3028" priority="37">
      <formula>$G44="non compris"</formula>
    </cfRule>
  </conditionalFormatting>
  <conditionalFormatting sqref="D30">
    <cfRule type="expression" dxfId="3027" priority="32">
      <formula>$G30="réalisé"</formula>
    </cfRule>
    <cfRule type="expression" dxfId="3026" priority="33">
      <formula>$G30="en cours"</formula>
    </cfRule>
    <cfRule type="expression" dxfId="3025" priority="34">
      <formula>$G30="non compris"</formula>
    </cfRule>
  </conditionalFormatting>
  <conditionalFormatting sqref="D32">
    <cfRule type="expression" dxfId="3024" priority="29">
      <formula>$G32="réalisé"</formula>
    </cfRule>
    <cfRule type="expression" dxfId="3023" priority="30">
      <formula>$G32="en cours"</formula>
    </cfRule>
    <cfRule type="expression" dxfId="3022" priority="31">
      <formula>$G32="non compris"</formula>
    </cfRule>
  </conditionalFormatting>
  <conditionalFormatting sqref="D34">
    <cfRule type="expression" dxfId="3021" priority="26">
      <formula>$G34="réalisé"</formula>
    </cfRule>
    <cfRule type="expression" dxfId="3020" priority="27">
      <formula>$G34="en cours"</formula>
    </cfRule>
    <cfRule type="expression" dxfId="3019" priority="28">
      <formula>$G34="non compris"</formula>
    </cfRule>
  </conditionalFormatting>
  <conditionalFormatting sqref="D36">
    <cfRule type="expression" dxfId="3018" priority="23">
      <formula>$G36="réalisé"</formula>
    </cfRule>
    <cfRule type="expression" dxfId="3017" priority="24">
      <formula>$G36="en cours"</formula>
    </cfRule>
    <cfRule type="expression" dxfId="3016" priority="25">
      <formula>$G36="non compris"</formula>
    </cfRule>
  </conditionalFormatting>
  <conditionalFormatting sqref="D38">
    <cfRule type="expression" dxfId="3015" priority="20">
      <formula>$G38="réalisé"</formula>
    </cfRule>
    <cfRule type="expression" dxfId="3014" priority="21">
      <formula>$G38="en cours"</formula>
    </cfRule>
    <cfRule type="expression" dxfId="3013" priority="22">
      <formula>$G38="non compris"</formula>
    </cfRule>
  </conditionalFormatting>
  <conditionalFormatting sqref="D40">
    <cfRule type="expression" dxfId="3012" priority="17">
      <formula>$G40="réalisé"</formula>
    </cfRule>
    <cfRule type="expression" dxfId="3011" priority="18">
      <formula>$G40="en cours"</formula>
    </cfRule>
    <cfRule type="expression" dxfId="3010" priority="19">
      <formula>$G40="non compris"</formula>
    </cfRule>
  </conditionalFormatting>
  <conditionalFormatting sqref="D42:D43">
    <cfRule type="expression" dxfId="3009" priority="14">
      <formula>$G42="réalisé"</formula>
    </cfRule>
    <cfRule type="expression" dxfId="3008" priority="15">
      <formula>$G42="en cours"</formula>
    </cfRule>
    <cfRule type="expression" dxfId="3007" priority="16">
      <formula>$G42="non compris"</formula>
    </cfRule>
  </conditionalFormatting>
  <conditionalFormatting sqref="D50">
    <cfRule type="expression" dxfId="3006" priority="11">
      <formula>$G50="réalisé"</formula>
    </cfRule>
    <cfRule type="expression" dxfId="3005" priority="12">
      <formula>$G50="en cours"</formula>
    </cfRule>
    <cfRule type="expression" dxfId="3004" priority="13">
      <formula>$G50="non compris"</formula>
    </cfRule>
  </conditionalFormatting>
  <conditionalFormatting sqref="D49">
    <cfRule type="expression" dxfId="3003" priority="8">
      <formula>$G49="réalisé"</formula>
    </cfRule>
    <cfRule type="expression" dxfId="3002" priority="9">
      <formula>$G49="en cours"</formula>
    </cfRule>
    <cfRule type="expression" dxfId="3001" priority="10">
      <formula>$G49="non compris"</formula>
    </cfRule>
  </conditionalFormatting>
  <conditionalFormatting sqref="D48">
    <cfRule type="expression" dxfId="3000" priority="5">
      <formula>$G48="réalisé"</formula>
    </cfRule>
    <cfRule type="expression" dxfId="2999" priority="6">
      <formula>$G48="en cours"</formula>
    </cfRule>
    <cfRule type="expression" dxfId="2998" priority="7">
      <formula>$G48="non compris"</formula>
    </cfRule>
  </conditionalFormatting>
  <conditionalFormatting sqref="D51">
    <cfRule type="expression" dxfId="2997" priority="2">
      <formula>$G51="réalisé"</formula>
    </cfRule>
    <cfRule type="expression" dxfId="2996" priority="3">
      <formula>$G51="en cours"</formula>
    </cfRule>
    <cfRule type="expression" dxfId="2995" priority="4">
      <formula>$G51="non compris"</formula>
    </cfRule>
  </conditionalFormatting>
  <conditionalFormatting sqref="D8:D26">
    <cfRule type="expression" dxfId="2994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6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>
    <tabColor rgb="FF00B050"/>
    <pageSetUpPr fitToPage="1"/>
  </sheetPr>
  <dimension ref="A1:N74"/>
  <sheetViews>
    <sheetView view="pageLayout" topLeftCell="A25" zoomScaleNormal="100" zoomScaleSheetLayoutView="100" workbookViewId="0">
      <selection activeCell="E25" sqref="E25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3.140625" customWidth="1"/>
    <col min="8" max="8" width="28.7109375" customWidth="1"/>
    <col min="9" max="9" width="4.28515625" customWidth="1"/>
  </cols>
  <sheetData>
    <row r="1" spans="1:9" ht="21" x14ac:dyDescent="0.35">
      <c r="A1" s="377" t="s">
        <v>0</v>
      </c>
      <c r="B1" s="378"/>
      <c r="C1" s="378"/>
      <c r="D1" s="378"/>
      <c r="E1" s="378"/>
      <c r="F1" s="378"/>
      <c r="G1" s="378"/>
      <c r="H1" s="1" t="s">
        <v>1</v>
      </c>
      <c r="I1" s="3">
        <f ca="1">INT(MOD(INT((LISTE!D1-2)/7)+0.6,52+5/28))+1</f>
        <v>41</v>
      </c>
    </row>
    <row r="2" spans="1:9" x14ac:dyDescent="0.25">
      <c r="A2" s="390" t="s">
        <v>2</v>
      </c>
      <c r="B2" s="391"/>
      <c r="C2" s="70" t="str">
        <f ca="1">MID(CELL("nomfichier",A1),FIND("]",CELL("nomfichier",A1),1)+1,30)</f>
        <v>BOUNYAVET</v>
      </c>
      <c r="D2" s="4" t="s">
        <v>72</v>
      </c>
      <c r="E2" s="379">
        <v>43073</v>
      </c>
      <c r="F2" s="379"/>
      <c r="G2" s="5"/>
      <c r="H2" s="380" t="s">
        <v>143</v>
      </c>
      <c r="I2" s="381"/>
    </row>
    <row r="3" spans="1:9" ht="15.75" x14ac:dyDescent="0.25">
      <c r="A3" s="392" t="s">
        <v>106</v>
      </c>
      <c r="B3" s="384"/>
      <c r="C3" s="6" t="s">
        <v>233</v>
      </c>
      <c r="D3" s="7" t="s">
        <v>3</v>
      </c>
      <c r="E3" s="382">
        <v>43131</v>
      </c>
      <c r="F3" s="383"/>
      <c r="G3" s="8"/>
      <c r="H3" s="384" t="str">
        <f ca="1">DATEDIF(E3,TODAY(),"m")&amp;"mois"&amp;-DATEDIF(E3,TODAY(),"md")&amp;"jours"</f>
        <v>8mois-11jours</v>
      </c>
      <c r="I3" s="385"/>
    </row>
    <row r="4" spans="1:9" ht="18.75" x14ac:dyDescent="0.25">
      <c r="A4" s="69" t="s">
        <v>117</v>
      </c>
      <c r="B4" s="129"/>
      <c r="C4" s="9" t="s">
        <v>120</v>
      </c>
      <c r="D4" s="10" t="s">
        <v>4</v>
      </c>
      <c r="E4" s="386">
        <f>E3+60</f>
        <v>43191</v>
      </c>
      <c r="F4" s="386"/>
      <c r="G4" s="11"/>
      <c r="H4" s="12"/>
      <c r="I4" s="13"/>
    </row>
    <row r="5" spans="1:9" x14ac:dyDescent="0.25">
      <c r="A5" s="393" t="s">
        <v>76</v>
      </c>
      <c r="B5" s="394"/>
      <c r="C5" s="15"/>
      <c r="D5" s="16"/>
      <c r="E5" s="15"/>
      <c r="F5" s="15"/>
      <c r="G5" s="17"/>
      <c r="H5" s="18"/>
      <c r="I5" s="19"/>
    </row>
    <row r="6" spans="1:9" ht="18.75" x14ac:dyDescent="0.3">
      <c r="A6" s="395" t="s">
        <v>75</v>
      </c>
      <c r="B6" s="396"/>
      <c r="C6" s="387" t="s">
        <v>145</v>
      </c>
      <c r="D6" s="388"/>
      <c r="E6" s="388"/>
      <c r="F6" s="388"/>
      <c r="G6" s="388"/>
      <c r="H6" s="389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22"/>
      <c r="B8" s="200"/>
      <c r="C8" s="28" t="s">
        <v>124</v>
      </c>
      <c r="D8" s="52" t="s">
        <v>38</v>
      </c>
      <c r="E8" s="180">
        <v>5</v>
      </c>
      <c r="F8" s="25"/>
      <c r="G8" s="26" t="s">
        <v>36</v>
      </c>
      <c r="H8" s="27"/>
      <c r="I8" s="19"/>
    </row>
    <row r="9" spans="1:9" x14ac:dyDescent="0.25">
      <c r="A9" s="122"/>
      <c r="B9" s="130"/>
      <c r="C9" s="28" t="s">
        <v>131</v>
      </c>
      <c r="D9" s="53" t="str">
        <f>D8</f>
        <v>TEMA</v>
      </c>
      <c r="E9" s="181">
        <v>6</v>
      </c>
      <c r="F9" s="29"/>
      <c r="G9" s="30" t="s">
        <v>36</v>
      </c>
      <c r="H9" s="27"/>
      <c r="I9" s="19"/>
    </row>
    <row r="10" spans="1:9" ht="15" customHeight="1" x14ac:dyDescent="0.25">
      <c r="A10" s="131"/>
      <c r="B10" s="182"/>
      <c r="C10" s="28" t="s">
        <v>132</v>
      </c>
      <c r="D10" s="52" t="str">
        <f>D9</f>
        <v>TEMA</v>
      </c>
      <c r="E10" s="180">
        <f>E9</f>
        <v>6</v>
      </c>
      <c r="F10" s="31"/>
      <c r="G10" s="30" t="s">
        <v>36</v>
      </c>
      <c r="H10" s="27"/>
      <c r="I10" s="19"/>
    </row>
    <row r="11" spans="1:9" ht="15" customHeight="1" x14ac:dyDescent="0.25">
      <c r="A11" s="131"/>
      <c r="B11" s="132"/>
      <c r="C11" s="28" t="s">
        <v>133</v>
      </c>
      <c r="D11" s="54" t="str">
        <f>D8</f>
        <v>TEMA</v>
      </c>
      <c r="E11" s="180">
        <f>E10+1</f>
        <v>7</v>
      </c>
      <c r="F11" s="31"/>
      <c r="G11" s="30" t="s">
        <v>36</v>
      </c>
      <c r="H11" s="27"/>
      <c r="I11" s="19"/>
    </row>
    <row r="12" spans="1:9" ht="15" customHeight="1" x14ac:dyDescent="0.25">
      <c r="A12" s="255">
        <v>16367.52</v>
      </c>
      <c r="B12" s="230">
        <f>A12-13639.6-2727.92</f>
        <v>0</v>
      </c>
      <c r="C12" s="28" t="s">
        <v>134</v>
      </c>
      <c r="D12" s="54" t="str">
        <f t="shared" ref="D12:D14" si="0">D9</f>
        <v>TEMA</v>
      </c>
      <c r="E12" s="180">
        <v>8</v>
      </c>
      <c r="F12" s="31"/>
      <c r="G12" s="30" t="s">
        <v>36</v>
      </c>
      <c r="H12" s="27"/>
      <c r="I12" s="19"/>
    </row>
    <row r="13" spans="1:9" ht="15" customHeight="1" x14ac:dyDescent="0.25">
      <c r="A13" s="249"/>
      <c r="B13" s="132"/>
      <c r="C13" s="28" t="s">
        <v>135</v>
      </c>
      <c r="D13" s="54" t="str">
        <f t="shared" si="0"/>
        <v>TEMA</v>
      </c>
      <c r="E13" s="180">
        <f>E12+1</f>
        <v>9</v>
      </c>
      <c r="F13" s="31"/>
      <c r="G13" s="30" t="s">
        <v>36</v>
      </c>
      <c r="H13" s="27"/>
      <c r="I13" s="19"/>
    </row>
    <row r="14" spans="1:9" ht="15" customHeight="1" x14ac:dyDescent="0.25">
      <c r="A14" s="249"/>
      <c r="B14" s="132"/>
      <c r="C14" s="28" t="s">
        <v>136</v>
      </c>
      <c r="D14" s="54" t="str">
        <f t="shared" si="0"/>
        <v>TEMA</v>
      </c>
      <c r="E14" s="180">
        <f>E13</f>
        <v>9</v>
      </c>
      <c r="F14" s="31"/>
      <c r="G14" s="30" t="s">
        <v>36</v>
      </c>
      <c r="H14" s="27"/>
      <c r="I14" s="19"/>
    </row>
    <row r="15" spans="1:9" x14ac:dyDescent="0.25">
      <c r="A15" s="249"/>
      <c r="B15" s="132"/>
      <c r="C15" s="28" t="s">
        <v>62</v>
      </c>
      <c r="D15" s="53" t="s">
        <v>64</v>
      </c>
      <c r="E15" s="24">
        <f>E10+4</f>
        <v>10</v>
      </c>
      <c r="F15" s="29"/>
      <c r="G15" s="30" t="s">
        <v>70</v>
      </c>
      <c r="H15" s="27"/>
      <c r="I15" s="19"/>
    </row>
    <row r="16" spans="1:9" x14ac:dyDescent="0.25">
      <c r="A16" s="249"/>
      <c r="B16" s="132"/>
      <c r="C16" s="28" t="s">
        <v>10</v>
      </c>
      <c r="D16" s="52" t="s">
        <v>64</v>
      </c>
      <c r="E16" s="24">
        <f>E10+1</f>
        <v>7</v>
      </c>
      <c r="F16" s="29"/>
      <c r="G16" s="30" t="s">
        <v>70</v>
      </c>
      <c r="H16" s="27"/>
      <c r="I16" s="19"/>
    </row>
    <row r="17" spans="1:14" x14ac:dyDescent="0.25">
      <c r="A17" s="249"/>
      <c r="B17" s="132"/>
      <c r="C17" s="28" t="s">
        <v>11</v>
      </c>
      <c r="D17" s="53" t="s">
        <v>38</v>
      </c>
      <c r="E17" s="24">
        <f>E16+1</f>
        <v>8</v>
      </c>
      <c r="F17" s="29"/>
      <c r="G17" s="30" t="s">
        <v>36</v>
      </c>
      <c r="H17" s="27"/>
      <c r="I17" s="19"/>
      <c r="N17" s="109"/>
    </row>
    <row r="18" spans="1:14" x14ac:dyDescent="0.25">
      <c r="A18" s="255">
        <v>692.23</v>
      </c>
      <c r="B18" s="261">
        <f>A18-692.23</f>
        <v>0</v>
      </c>
      <c r="C18" s="28" t="s">
        <v>12</v>
      </c>
      <c r="D18" s="52" t="s">
        <v>40</v>
      </c>
      <c r="E18" s="180">
        <v>14</v>
      </c>
      <c r="F18" s="29"/>
      <c r="G18" s="30" t="s">
        <v>36</v>
      </c>
      <c r="H18" s="27"/>
      <c r="I18" s="19"/>
    </row>
    <row r="19" spans="1:14" x14ac:dyDescent="0.25">
      <c r="A19" s="249"/>
      <c r="B19" s="132"/>
      <c r="C19" s="28" t="s">
        <v>73</v>
      </c>
      <c r="D19" s="53" t="str">
        <f>D10</f>
        <v>TEMA</v>
      </c>
      <c r="E19" s="24">
        <v>15</v>
      </c>
      <c r="F19" s="29"/>
      <c r="G19" s="30" t="s">
        <v>36</v>
      </c>
      <c r="H19" s="27"/>
      <c r="I19" s="19"/>
    </row>
    <row r="20" spans="1:14" x14ac:dyDescent="0.25">
      <c r="A20" s="255">
        <v>951.19</v>
      </c>
      <c r="B20" s="230">
        <f>A20-951.19</f>
        <v>0</v>
      </c>
      <c r="C20" s="28" t="s">
        <v>59</v>
      </c>
      <c r="D20" s="52" t="s">
        <v>42</v>
      </c>
      <c r="E20" s="24">
        <v>17</v>
      </c>
      <c r="F20" s="29"/>
      <c r="G20" s="30" t="s">
        <v>36</v>
      </c>
      <c r="H20" s="27"/>
      <c r="I20" s="19"/>
    </row>
    <row r="21" spans="1:14" x14ac:dyDescent="0.25">
      <c r="A21" s="255">
        <v>471.07</v>
      </c>
      <c r="B21" s="230">
        <f>A21-471.07</f>
        <v>0</v>
      </c>
      <c r="C21" s="28" t="s">
        <v>60</v>
      </c>
      <c r="D21" s="54" t="s">
        <v>42</v>
      </c>
      <c r="E21" s="24">
        <f>E20</f>
        <v>17</v>
      </c>
      <c r="F21" s="29"/>
      <c r="G21" s="30" t="s">
        <v>36</v>
      </c>
      <c r="H21" s="50"/>
      <c r="I21" s="19"/>
    </row>
    <row r="22" spans="1:14" x14ac:dyDescent="0.25">
      <c r="A22" s="249"/>
      <c r="B22" s="132"/>
      <c r="C22" s="185" t="s">
        <v>13</v>
      </c>
      <c r="D22" s="186" t="s">
        <v>68</v>
      </c>
      <c r="E22" s="187">
        <f>E20</f>
        <v>17</v>
      </c>
      <c r="F22" s="188"/>
      <c r="G22" s="189" t="s">
        <v>9</v>
      </c>
      <c r="H22" s="190"/>
      <c r="I22" s="19"/>
    </row>
    <row r="23" spans="1:14" x14ac:dyDescent="0.25">
      <c r="A23" s="255">
        <v>2856.01</v>
      </c>
      <c r="B23" s="261">
        <f>A23-2856.01</f>
        <v>0</v>
      </c>
      <c r="C23" s="32" t="s">
        <v>138</v>
      </c>
      <c r="D23" s="52" t="s">
        <v>45</v>
      </c>
      <c r="E23" s="24">
        <v>18</v>
      </c>
      <c r="F23" s="29"/>
      <c r="G23" s="30" t="s">
        <v>36</v>
      </c>
      <c r="H23" s="27"/>
      <c r="I23" s="19"/>
    </row>
    <row r="24" spans="1:14" x14ac:dyDescent="0.25">
      <c r="A24" s="249"/>
      <c r="B24" s="132"/>
      <c r="C24" s="28" t="s">
        <v>14</v>
      </c>
      <c r="D24" s="53" t="str">
        <f>D17</f>
        <v>TEMA</v>
      </c>
      <c r="E24" s="24">
        <v>18</v>
      </c>
      <c r="F24" s="29"/>
      <c r="G24" s="30" t="s">
        <v>36</v>
      </c>
      <c r="H24" s="27"/>
      <c r="I24" s="19"/>
    </row>
    <row r="25" spans="1:14" x14ac:dyDescent="0.25">
      <c r="A25" s="248"/>
      <c r="B25" s="143">
        <f>A25</f>
        <v>0</v>
      </c>
      <c r="C25" s="183" t="s">
        <v>137</v>
      </c>
      <c r="D25" s="53" t="s">
        <v>64</v>
      </c>
      <c r="E25" s="24">
        <f>E23</f>
        <v>18</v>
      </c>
      <c r="F25" s="29"/>
      <c r="G25" s="72" t="s">
        <v>70</v>
      </c>
      <c r="H25" s="27"/>
      <c r="I25" s="19"/>
    </row>
    <row r="26" spans="1:14" x14ac:dyDescent="0.25">
      <c r="A26" s="249"/>
      <c r="B26" s="132"/>
      <c r="C26" s="191"/>
      <c r="D26" s="150"/>
      <c r="E26" s="192"/>
      <c r="F26" s="73"/>
      <c r="G26" s="73"/>
      <c r="H26" s="151"/>
      <c r="I26" s="19"/>
    </row>
    <row r="27" spans="1:14" ht="18.75" x14ac:dyDescent="0.3">
      <c r="A27" s="250"/>
      <c r="B27" s="146"/>
      <c r="C27" s="387" t="s">
        <v>144</v>
      </c>
      <c r="D27" s="388"/>
      <c r="E27" s="388"/>
      <c r="F27" s="388"/>
      <c r="G27" s="388"/>
      <c r="H27" s="389"/>
      <c r="I27" s="19"/>
    </row>
    <row r="28" spans="1:14" ht="15.75" thickBot="1" x14ac:dyDescent="0.3">
      <c r="A28" s="249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14" x14ac:dyDescent="0.25">
      <c r="A29" s="255">
        <v>1126.54</v>
      </c>
      <c r="B29" s="261">
        <f>A29-1126.54</f>
        <v>0</v>
      </c>
      <c r="C29" s="78" t="s">
        <v>66</v>
      </c>
      <c r="D29" s="52" t="s">
        <v>90</v>
      </c>
      <c r="E29" s="79">
        <f>IF(E24="","",MOD(E24+1,52))</f>
        <v>19</v>
      </c>
      <c r="F29" s="25"/>
      <c r="G29" s="26" t="s">
        <v>36</v>
      </c>
      <c r="H29" s="27"/>
      <c r="I29" s="19"/>
    </row>
    <row r="30" spans="1:14" x14ac:dyDescent="0.25">
      <c r="A30" s="255">
        <v>1778.75</v>
      </c>
      <c r="B30" s="230">
        <f>A30-1778.75</f>
        <v>0</v>
      </c>
      <c r="C30" s="28" t="s">
        <v>67</v>
      </c>
      <c r="D30" s="53" t="s">
        <v>47</v>
      </c>
      <c r="E30" s="24">
        <f>IF(E29="","",MOD(E29+1,52))</f>
        <v>20</v>
      </c>
      <c r="F30" s="29"/>
      <c r="G30" s="30" t="s">
        <v>36</v>
      </c>
      <c r="H30" s="27"/>
      <c r="I30" s="19"/>
    </row>
    <row r="31" spans="1:14" x14ac:dyDescent="0.25">
      <c r="A31" s="249"/>
      <c r="B31" s="132"/>
      <c r="C31" s="62" t="s">
        <v>16</v>
      </c>
      <c r="D31" s="52" t="str">
        <f>D29</f>
        <v>ELECTRO HECKER</v>
      </c>
      <c r="E31" s="24">
        <f>IF(E30="","",MOD(E30+2,52))</f>
        <v>22</v>
      </c>
      <c r="F31" s="29"/>
      <c r="G31" s="30" t="s">
        <v>36</v>
      </c>
      <c r="H31" s="27"/>
      <c r="I31" s="19"/>
    </row>
    <row r="32" spans="1:14" x14ac:dyDescent="0.25">
      <c r="A32" s="248"/>
      <c r="B32" s="143">
        <f>A32</f>
        <v>0</v>
      </c>
      <c r="C32" s="211" t="s">
        <v>17</v>
      </c>
      <c r="D32" s="68" t="s">
        <v>64</v>
      </c>
      <c r="E32" s="64">
        <v>29</v>
      </c>
      <c r="F32" s="65"/>
      <c r="G32" s="66" t="s">
        <v>36</v>
      </c>
      <c r="H32" s="67"/>
      <c r="I32" s="19"/>
    </row>
    <row r="33" spans="1:9" x14ac:dyDescent="0.25">
      <c r="A33" s="248"/>
      <c r="B33" s="143"/>
      <c r="C33" s="212" t="s">
        <v>140</v>
      </c>
      <c r="D33" s="213" t="s">
        <v>64</v>
      </c>
      <c r="E33" s="64">
        <v>29</v>
      </c>
      <c r="F33" s="65"/>
      <c r="G33" s="66" t="s">
        <v>36</v>
      </c>
      <c r="H33" s="67"/>
      <c r="I33" s="19"/>
    </row>
    <row r="34" spans="1:9" x14ac:dyDescent="0.25">
      <c r="A34" s="248"/>
      <c r="B34" s="143">
        <f>A34</f>
        <v>0</v>
      </c>
      <c r="C34" s="63" t="s">
        <v>141</v>
      </c>
      <c r="D34" s="68" t="s">
        <v>64</v>
      </c>
      <c r="E34" s="64">
        <f>IF(E32="","",MOD(E32+1,52))</f>
        <v>30</v>
      </c>
      <c r="F34" s="65"/>
      <c r="G34" s="66" t="s">
        <v>36</v>
      </c>
      <c r="H34" s="67"/>
      <c r="I34" s="19"/>
    </row>
    <row r="35" spans="1:9" x14ac:dyDescent="0.25">
      <c r="A35" s="249"/>
      <c r="B35" s="13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255"/>
      <c r="B36" s="256">
        <f>A36</f>
        <v>0</v>
      </c>
      <c r="C36" s="28" t="s">
        <v>19</v>
      </c>
      <c r="D36" s="53" t="s">
        <v>52</v>
      </c>
      <c r="E36" s="24">
        <v>35</v>
      </c>
      <c r="F36" s="29"/>
      <c r="G36" s="30" t="s">
        <v>36</v>
      </c>
      <c r="H36" s="27"/>
      <c r="I36" s="19"/>
    </row>
    <row r="37" spans="1:9" x14ac:dyDescent="0.25">
      <c r="A37" s="249"/>
      <c r="B37" s="132"/>
      <c r="C37" s="28" t="s">
        <v>20</v>
      </c>
      <c r="D37" s="52" t="str">
        <f>D30</f>
        <v>SOARES</v>
      </c>
      <c r="E37" s="24">
        <v>36</v>
      </c>
      <c r="F37" s="29"/>
      <c r="G37" s="30" t="s">
        <v>36</v>
      </c>
      <c r="H37" s="27"/>
      <c r="I37" s="19"/>
    </row>
    <row r="38" spans="1:9" x14ac:dyDescent="0.25">
      <c r="A38" s="249"/>
      <c r="B38" s="132"/>
      <c r="C38" s="28" t="s">
        <v>21</v>
      </c>
      <c r="D38" s="53" t="str">
        <f>D29</f>
        <v>ELECTRO HECKER</v>
      </c>
      <c r="E38" s="24">
        <f>IF(E37="","",MOD(E37+1,52))</f>
        <v>37</v>
      </c>
      <c r="F38" s="29"/>
      <c r="G38" s="30" t="s">
        <v>36</v>
      </c>
      <c r="H38" s="27"/>
      <c r="I38" s="19"/>
    </row>
    <row r="39" spans="1:9" x14ac:dyDescent="0.25">
      <c r="A39" s="249"/>
      <c r="B39" s="132"/>
      <c r="C39" s="28" t="s">
        <v>22</v>
      </c>
      <c r="D39" s="52" t="str">
        <f>D32</f>
        <v>A CHARGE CLIENT</v>
      </c>
      <c r="E39" s="24">
        <f>IF(E37="","",MOD(E37+1,52))</f>
        <v>37</v>
      </c>
      <c r="F39" s="29"/>
      <c r="G39" s="30" t="s">
        <v>70</v>
      </c>
      <c r="H39" s="27"/>
      <c r="I39" s="19"/>
    </row>
    <row r="40" spans="1:9" x14ac:dyDescent="0.25">
      <c r="A40" s="249"/>
      <c r="B40" s="132"/>
      <c r="C40" s="28" t="s">
        <v>23</v>
      </c>
      <c r="D40" s="53" t="s">
        <v>64</v>
      </c>
      <c r="E40" s="24">
        <f>E36+4</f>
        <v>39</v>
      </c>
      <c r="F40" s="29"/>
      <c r="G40" s="30" t="s">
        <v>70</v>
      </c>
      <c r="H40" s="27"/>
      <c r="I40" s="19"/>
    </row>
    <row r="41" spans="1:9" x14ac:dyDescent="0.25">
      <c r="A41" s="249"/>
      <c r="B41" s="132"/>
      <c r="C41" s="28" t="s">
        <v>24</v>
      </c>
      <c r="D41" s="52" t="s">
        <v>64</v>
      </c>
      <c r="E41" s="24">
        <f>E39+1</f>
        <v>38</v>
      </c>
      <c r="F41" s="29"/>
      <c r="G41" s="30" t="s">
        <v>70</v>
      </c>
      <c r="H41" s="27"/>
      <c r="I41" s="19"/>
    </row>
    <row r="42" spans="1:9" x14ac:dyDescent="0.25">
      <c r="A42" s="249"/>
      <c r="B42" s="132"/>
      <c r="C42" s="28" t="s">
        <v>25</v>
      </c>
      <c r="D42" s="53" t="str">
        <f>D34</f>
        <v>A CHARGE CLIENT</v>
      </c>
      <c r="E42" s="24">
        <f>IF(E40="","",MOD(E40+2,52))</f>
        <v>41</v>
      </c>
      <c r="F42" s="29"/>
      <c r="G42" s="30" t="s">
        <v>70</v>
      </c>
      <c r="H42" s="27"/>
      <c r="I42" s="19"/>
    </row>
    <row r="43" spans="1:9" x14ac:dyDescent="0.25">
      <c r="A43" s="248"/>
      <c r="B43" s="143">
        <f>A43</f>
        <v>0</v>
      </c>
      <c r="C43" s="81" t="s">
        <v>147</v>
      </c>
      <c r="D43" s="52" t="s">
        <v>64</v>
      </c>
      <c r="E43" s="82">
        <f>E44</f>
        <v>41</v>
      </c>
      <c r="F43" s="83"/>
      <c r="G43" s="72" t="s">
        <v>70</v>
      </c>
      <c r="H43" s="27"/>
      <c r="I43" s="19"/>
    </row>
    <row r="44" spans="1:9" x14ac:dyDescent="0.25">
      <c r="A44" s="248"/>
      <c r="B44" s="143">
        <f>A44</f>
        <v>0</v>
      </c>
      <c r="C44" s="81" t="s">
        <v>139</v>
      </c>
      <c r="D44" s="193" t="s">
        <v>64</v>
      </c>
      <c r="E44" s="82">
        <f>IF(E40="","",MOD(E40+2,52))</f>
        <v>41</v>
      </c>
      <c r="F44" s="83"/>
      <c r="G44" s="72" t="s">
        <v>70</v>
      </c>
      <c r="H44" s="194"/>
      <c r="I44" s="19"/>
    </row>
    <row r="45" spans="1:9" x14ac:dyDescent="0.25">
      <c r="A45" s="249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250"/>
      <c r="B46" s="146"/>
      <c r="C46" s="387" t="s">
        <v>146</v>
      </c>
      <c r="D46" s="388"/>
      <c r="E46" s="388"/>
      <c r="F46" s="388"/>
      <c r="G46" s="388"/>
      <c r="H46" s="389"/>
      <c r="I46" s="19"/>
    </row>
    <row r="47" spans="1:9" ht="15.75" thickBot="1" x14ac:dyDescent="0.3">
      <c r="A47" s="249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255"/>
      <c r="B48" s="256">
        <f>A48</f>
        <v>0</v>
      </c>
      <c r="C48" s="88" t="s">
        <v>26</v>
      </c>
      <c r="D48" s="52" t="s">
        <v>57</v>
      </c>
      <c r="E48" s="89">
        <v>41</v>
      </c>
      <c r="F48" s="25"/>
      <c r="G48" s="26"/>
      <c r="H48" s="27"/>
      <c r="I48" s="19"/>
    </row>
    <row r="49" spans="1:9" x14ac:dyDescent="0.25">
      <c r="A49" s="251"/>
      <c r="B49" s="173"/>
      <c r="C49" s="102" t="s">
        <v>69</v>
      </c>
      <c r="D49" s="103" t="s">
        <v>64</v>
      </c>
      <c r="E49" s="104">
        <f>E48</f>
        <v>41</v>
      </c>
      <c r="F49" s="105"/>
      <c r="G49" s="106" t="s">
        <v>70</v>
      </c>
      <c r="H49" s="27"/>
      <c r="I49" s="19"/>
    </row>
    <row r="50" spans="1:9" x14ac:dyDescent="0.25">
      <c r="A50" s="251"/>
      <c r="B50" s="173"/>
      <c r="C50" s="92" t="s">
        <v>61</v>
      </c>
      <c r="D50" s="99" t="s">
        <v>68</v>
      </c>
      <c r="E50" s="101">
        <f>E48+1</f>
        <v>42</v>
      </c>
      <c r="F50" s="95"/>
      <c r="G50" s="96" t="s">
        <v>9</v>
      </c>
      <c r="H50" s="97"/>
      <c r="I50" s="19"/>
    </row>
    <row r="51" spans="1:9" x14ac:dyDescent="0.25">
      <c r="A51" s="251">
        <f>SUM(A8:A50)</f>
        <v>24243.309999999998</v>
      </c>
      <c r="B51" s="251">
        <f>SUM(B8:B50)</f>
        <v>0</v>
      </c>
      <c r="C51" s="91" t="s">
        <v>27</v>
      </c>
      <c r="D51" s="52" t="s">
        <v>64</v>
      </c>
      <c r="E51" s="90">
        <f>E48+3</f>
        <v>44</v>
      </c>
      <c r="F51" s="29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7" t="s">
        <v>142</v>
      </c>
      <c r="I54" s="19"/>
    </row>
    <row r="55" spans="1:9" x14ac:dyDescent="0.25">
      <c r="A55" s="42"/>
      <c r="B55" s="126"/>
      <c r="C55" s="43" t="s">
        <v>122</v>
      </c>
      <c r="D55" s="107">
        <v>43070</v>
      </c>
      <c r="E55" s="44"/>
      <c r="F55" s="45" t="s">
        <v>109</v>
      </c>
      <c r="G55" s="18"/>
      <c r="H55" s="398"/>
      <c r="I55" s="19"/>
    </row>
    <row r="56" spans="1:9" x14ac:dyDescent="0.25">
      <c r="A56" s="42"/>
      <c r="B56" s="126"/>
      <c r="C56" s="33" t="s">
        <v>123</v>
      </c>
      <c r="D56" s="49">
        <v>43119</v>
      </c>
      <c r="E56" s="46"/>
      <c r="F56" s="2" t="s">
        <v>109</v>
      </c>
      <c r="G56" s="18"/>
      <c r="H56" s="399" t="e">
        <f>DATEDIF(E3,D58,"m")&amp;"mois"&amp;DATEDIF(E3,D58,"md")&amp;"jours"</f>
        <v>#NUM!</v>
      </c>
      <c r="I56" s="19"/>
    </row>
    <row r="57" spans="1:9" ht="15.75" thickBot="1" x14ac:dyDescent="0.3">
      <c r="A57" s="42"/>
      <c r="B57" s="126"/>
      <c r="C57" s="33" t="s">
        <v>31</v>
      </c>
      <c r="D57" s="49">
        <v>43237</v>
      </c>
      <c r="E57" s="46"/>
      <c r="F57" s="2" t="s">
        <v>109</v>
      </c>
      <c r="G57" s="18"/>
      <c r="H57" s="400"/>
      <c r="I57" s="19"/>
    </row>
    <row r="58" spans="1:9" x14ac:dyDescent="0.25">
      <c r="A58" s="42"/>
      <c r="B58" s="126"/>
      <c r="C58" s="47" t="s">
        <v>32</v>
      </c>
      <c r="D58" s="184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1"/>
      <c r="D60" s="371"/>
      <c r="E60" s="371"/>
      <c r="F60" s="371"/>
      <c r="G60" s="371"/>
      <c r="H60" s="371"/>
      <c r="I60" s="372"/>
    </row>
    <row r="61" spans="1:9" x14ac:dyDescent="0.25">
      <c r="A61" s="34"/>
      <c r="B61" s="18"/>
      <c r="C61" s="373"/>
      <c r="D61" s="373"/>
      <c r="E61" s="373"/>
      <c r="F61" s="373"/>
      <c r="G61" s="373"/>
      <c r="H61" s="373"/>
      <c r="I61" s="374"/>
    </row>
    <row r="62" spans="1:9" x14ac:dyDescent="0.25">
      <c r="A62" s="34"/>
      <c r="B62" s="18"/>
      <c r="C62" s="373"/>
      <c r="D62" s="373"/>
      <c r="E62" s="373"/>
      <c r="F62" s="373"/>
      <c r="G62" s="373"/>
      <c r="H62" s="373"/>
      <c r="I62" s="374"/>
    </row>
    <row r="63" spans="1:9" x14ac:dyDescent="0.25">
      <c r="A63" s="34"/>
      <c r="B63" s="18"/>
      <c r="C63" s="373"/>
      <c r="D63" s="373"/>
      <c r="E63" s="373"/>
      <c r="F63" s="373"/>
      <c r="G63" s="373"/>
      <c r="H63" s="373"/>
      <c r="I63" s="374"/>
    </row>
    <row r="64" spans="1:9" x14ac:dyDescent="0.25">
      <c r="A64" s="34"/>
      <c r="B64" s="18"/>
      <c r="C64" s="373"/>
      <c r="D64" s="373"/>
      <c r="E64" s="373"/>
      <c r="F64" s="373"/>
      <c r="G64" s="373"/>
      <c r="H64" s="373"/>
      <c r="I64" s="374"/>
    </row>
    <row r="65" spans="1:9" x14ac:dyDescent="0.25">
      <c r="A65" s="44"/>
      <c r="B65" s="45"/>
      <c r="C65" s="375"/>
      <c r="D65" s="375"/>
      <c r="E65" s="375"/>
      <c r="F65" s="375"/>
      <c r="G65" s="375"/>
      <c r="H65" s="375"/>
      <c r="I65" s="376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A1:G1"/>
    <mergeCell ref="A2:B2"/>
    <mergeCell ref="E2:F2"/>
    <mergeCell ref="H2:I2"/>
    <mergeCell ref="A3:B3"/>
    <mergeCell ref="E3:F3"/>
    <mergeCell ref="H3:I3"/>
    <mergeCell ref="H54:H55"/>
    <mergeCell ref="H56:H57"/>
    <mergeCell ref="C60:I65"/>
    <mergeCell ref="E4:F4"/>
    <mergeCell ref="A5:B5"/>
    <mergeCell ref="A6:B6"/>
    <mergeCell ref="C6:H6"/>
    <mergeCell ref="C27:H27"/>
    <mergeCell ref="C46:H46"/>
  </mergeCells>
  <conditionalFormatting sqref="C52:G52">
    <cfRule type="expression" dxfId="2951" priority="70">
      <formula>$F52="réalisé"</formula>
    </cfRule>
  </conditionalFormatting>
  <conditionalFormatting sqref="C48:C51 E48:H51 E29:H45 C8:H26">
    <cfRule type="expression" dxfId="2950" priority="67">
      <formula>$G8="réalisé"</formula>
    </cfRule>
    <cfRule type="expression" dxfId="2949" priority="68">
      <formula>$G8="en cours"</formula>
    </cfRule>
    <cfRule type="expression" dxfId="2948" priority="69">
      <formula>$G8="non compris"</formula>
    </cfRule>
  </conditionalFormatting>
  <conditionalFormatting sqref="C29:C45">
    <cfRule type="expression" dxfId="2947" priority="64">
      <formula>$G29="réalisé"</formula>
    </cfRule>
    <cfRule type="expression" dxfId="2946" priority="65">
      <formula>$G29="en cours"</formula>
    </cfRule>
    <cfRule type="expression" dxfId="2945" priority="66">
      <formula>$G29="non compris"</formula>
    </cfRule>
  </conditionalFormatting>
  <conditionalFormatting sqref="C55:F58">
    <cfRule type="expression" dxfId="2944" priority="63">
      <formula>$F55="réalisé"</formula>
    </cfRule>
  </conditionalFormatting>
  <conditionalFormatting sqref="G9">
    <cfRule type="expression" dxfId="2943" priority="62">
      <formula>$G$10="réalisé"</formula>
    </cfRule>
  </conditionalFormatting>
  <conditionalFormatting sqref="G10:G14">
    <cfRule type="expression" dxfId="2942" priority="61">
      <formula>$G$15="réalisé"</formula>
    </cfRule>
  </conditionalFormatting>
  <conditionalFormatting sqref="G20:G21">
    <cfRule type="expression" dxfId="2941" priority="60">
      <formula>$G$22="réalisé"</formula>
    </cfRule>
  </conditionalFormatting>
  <conditionalFormatting sqref="G30">
    <cfRule type="expression" dxfId="2940" priority="59">
      <formula>$G$31="réalisé"</formula>
    </cfRule>
  </conditionalFormatting>
  <conditionalFormatting sqref="D29">
    <cfRule type="expression" dxfId="2939" priority="56">
      <formula>$G29="réalisé"</formula>
    </cfRule>
    <cfRule type="expression" dxfId="2938" priority="57">
      <formula>$G29="en cours"</formula>
    </cfRule>
    <cfRule type="expression" dxfId="2937" priority="58">
      <formula>$G29="non compris"</formula>
    </cfRule>
  </conditionalFormatting>
  <conditionalFormatting sqref="D31">
    <cfRule type="expression" dxfId="2936" priority="53">
      <formula>$G31="réalisé"</formula>
    </cfRule>
    <cfRule type="expression" dxfId="2935" priority="54">
      <formula>$G31="en cours"</formula>
    </cfRule>
    <cfRule type="expression" dxfId="2934" priority="55">
      <formula>$G31="non compris"</formula>
    </cfRule>
  </conditionalFormatting>
  <conditionalFormatting sqref="D33">
    <cfRule type="expression" dxfId="2933" priority="50">
      <formula>$G33="réalisé"</formula>
    </cfRule>
    <cfRule type="expression" dxfId="2932" priority="51">
      <formula>$G33="en cours"</formula>
    </cfRule>
    <cfRule type="expression" dxfId="2931" priority="52">
      <formula>$G33="non compris"</formula>
    </cfRule>
  </conditionalFormatting>
  <conditionalFormatting sqref="D35">
    <cfRule type="expression" dxfId="2930" priority="47">
      <formula>$G35="réalisé"</formula>
    </cfRule>
    <cfRule type="expression" dxfId="2929" priority="48">
      <formula>$G35="en cours"</formula>
    </cfRule>
    <cfRule type="expression" dxfId="2928" priority="49">
      <formula>$G35="non compris"</formula>
    </cfRule>
  </conditionalFormatting>
  <conditionalFormatting sqref="D37">
    <cfRule type="expression" dxfId="2927" priority="44">
      <formula>$G37="réalisé"</formula>
    </cfRule>
    <cfRule type="expression" dxfId="2926" priority="45">
      <formula>$G37="en cours"</formula>
    </cfRule>
    <cfRule type="expression" dxfId="2925" priority="46">
      <formula>$G37="non compris"</formula>
    </cfRule>
  </conditionalFormatting>
  <conditionalFormatting sqref="D39">
    <cfRule type="expression" dxfId="2924" priority="41">
      <formula>$G39="réalisé"</formula>
    </cfRule>
    <cfRule type="expression" dxfId="2923" priority="42">
      <formula>$G39="en cours"</formula>
    </cfRule>
    <cfRule type="expression" dxfId="2922" priority="43">
      <formula>$G39="non compris"</formula>
    </cfRule>
  </conditionalFormatting>
  <conditionalFormatting sqref="D41">
    <cfRule type="expression" dxfId="2921" priority="38">
      <formula>$G41="réalisé"</formula>
    </cfRule>
    <cfRule type="expression" dxfId="2920" priority="39">
      <formula>$G41="en cours"</formula>
    </cfRule>
    <cfRule type="expression" dxfId="2919" priority="40">
      <formula>$G41="non compris"</formula>
    </cfRule>
  </conditionalFormatting>
  <conditionalFormatting sqref="D44:D45">
    <cfRule type="expression" dxfId="2918" priority="35">
      <formula>$G44="réalisé"</formula>
    </cfRule>
    <cfRule type="expression" dxfId="2917" priority="36">
      <formula>$G44="en cours"</formula>
    </cfRule>
    <cfRule type="expression" dxfId="2916" priority="37">
      <formula>$G44="non compris"</formula>
    </cfRule>
  </conditionalFormatting>
  <conditionalFormatting sqref="D30">
    <cfRule type="expression" dxfId="2915" priority="32">
      <formula>$G30="réalisé"</formula>
    </cfRule>
    <cfRule type="expression" dxfId="2914" priority="33">
      <formula>$G30="en cours"</formula>
    </cfRule>
    <cfRule type="expression" dxfId="2913" priority="34">
      <formula>$G30="non compris"</formula>
    </cfRule>
  </conditionalFormatting>
  <conditionalFormatting sqref="D32">
    <cfRule type="expression" dxfId="2912" priority="29">
      <formula>$G32="réalisé"</formula>
    </cfRule>
    <cfRule type="expression" dxfId="2911" priority="30">
      <formula>$G32="en cours"</formula>
    </cfRule>
    <cfRule type="expression" dxfId="2910" priority="31">
      <formula>$G32="non compris"</formula>
    </cfRule>
  </conditionalFormatting>
  <conditionalFormatting sqref="D34">
    <cfRule type="expression" dxfId="2909" priority="26">
      <formula>$G34="réalisé"</formula>
    </cfRule>
    <cfRule type="expression" dxfId="2908" priority="27">
      <formula>$G34="en cours"</formula>
    </cfRule>
    <cfRule type="expression" dxfId="2907" priority="28">
      <formula>$G34="non compris"</formula>
    </cfRule>
  </conditionalFormatting>
  <conditionalFormatting sqref="D36">
    <cfRule type="expression" dxfId="2906" priority="23">
      <formula>$G36="réalisé"</formula>
    </cfRule>
    <cfRule type="expression" dxfId="2905" priority="24">
      <formula>$G36="en cours"</formula>
    </cfRule>
    <cfRule type="expression" dxfId="2904" priority="25">
      <formula>$G36="non compris"</formula>
    </cfRule>
  </conditionalFormatting>
  <conditionalFormatting sqref="D38">
    <cfRule type="expression" dxfId="2903" priority="20">
      <formula>$G38="réalisé"</formula>
    </cfRule>
    <cfRule type="expression" dxfId="2902" priority="21">
      <formula>$G38="en cours"</formula>
    </cfRule>
    <cfRule type="expression" dxfId="2901" priority="22">
      <formula>$G38="non compris"</formula>
    </cfRule>
  </conditionalFormatting>
  <conditionalFormatting sqref="D40">
    <cfRule type="expression" dxfId="2900" priority="17">
      <formula>$G40="réalisé"</formula>
    </cfRule>
    <cfRule type="expression" dxfId="2899" priority="18">
      <formula>$G40="en cours"</formula>
    </cfRule>
    <cfRule type="expression" dxfId="2898" priority="19">
      <formula>$G40="non compris"</formula>
    </cfRule>
  </conditionalFormatting>
  <conditionalFormatting sqref="D42:D43">
    <cfRule type="expression" dxfId="2897" priority="14">
      <formula>$G42="réalisé"</formula>
    </cfRule>
    <cfRule type="expression" dxfId="2896" priority="15">
      <formula>$G42="en cours"</formula>
    </cfRule>
    <cfRule type="expression" dxfId="2895" priority="16">
      <formula>$G42="non compris"</formula>
    </cfRule>
  </conditionalFormatting>
  <conditionalFormatting sqref="D50">
    <cfRule type="expression" dxfId="2894" priority="11">
      <formula>$G50="réalisé"</formula>
    </cfRule>
    <cfRule type="expression" dxfId="2893" priority="12">
      <formula>$G50="en cours"</formula>
    </cfRule>
    <cfRule type="expression" dxfId="2892" priority="13">
      <formula>$G50="non compris"</formula>
    </cfRule>
  </conditionalFormatting>
  <conditionalFormatting sqref="D49">
    <cfRule type="expression" dxfId="2891" priority="8">
      <formula>$G49="réalisé"</formula>
    </cfRule>
    <cfRule type="expression" dxfId="2890" priority="9">
      <formula>$G49="en cours"</formula>
    </cfRule>
    <cfRule type="expression" dxfId="2889" priority="10">
      <formula>$G49="non compris"</formula>
    </cfRule>
  </conditionalFormatting>
  <conditionalFormatting sqref="D48">
    <cfRule type="expression" dxfId="2888" priority="5">
      <formula>$G48="réalisé"</formula>
    </cfRule>
    <cfRule type="expression" dxfId="2887" priority="6">
      <formula>$G48="en cours"</formula>
    </cfRule>
    <cfRule type="expression" dxfId="2886" priority="7">
      <formula>$G48="non compris"</formula>
    </cfRule>
  </conditionalFormatting>
  <conditionalFormatting sqref="D51">
    <cfRule type="expression" dxfId="2885" priority="2">
      <formula>$G51="réalisé"</formula>
    </cfRule>
    <cfRule type="expression" dxfId="2884" priority="3">
      <formula>$G51="en cours"</formula>
    </cfRule>
    <cfRule type="expression" dxfId="2883" priority="4">
      <formula>$G51="non compris"</formula>
    </cfRule>
  </conditionalFormatting>
  <conditionalFormatting sqref="D8:D26">
    <cfRule type="expression" dxfId="2882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81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50"/>
    <pageSetUpPr fitToPage="1"/>
  </sheetPr>
  <dimension ref="A1:I74"/>
  <sheetViews>
    <sheetView topLeftCell="A16" zoomScaleNormal="100" workbookViewId="0">
      <selection activeCell="E25" sqref="E25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7" t="s">
        <v>0</v>
      </c>
      <c r="B1" s="378"/>
      <c r="C1" s="378"/>
      <c r="D1" s="378"/>
      <c r="E1" s="378"/>
      <c r="F1" s="378"/>
      <c r="G1" s="378"/>
      <c r="H1" s="1" t="s">
        <v>1</v>
      </c>
      <c r="I1" s="3">
        <f ca="1">INT(MOD(INT((LISTE!D1-2)/7)+0.6,52+5/28))+1</f>
        <v>41</v>
      </c>
    </row>
    <row r="2" spans="1:9" x14ac:dyDescent="0.25">
      <c r="A2" s="390" t="s">
        <v>2</v>
      </c>
      <c r="B2" s="391"/>
      <c r="C2" s="70" t="str">
        <f ca="1">MID(CELL("nomfichier",A1),FIND("]",CELL("nomfichier",A1),1)+1,30)</f>
        <v>DAVE</v>
      </c>
      <c r="D2" s="4" t="s">
        <v>72</v>
      </c>
      <c r="E2" s="379">
        <v>43116</v>
      </c>
      <c r="F2" s="379"/>
      <c r="G2" s="5"/>
      <c r="H2" s="380" t="s">
        <v>143</v>
      </c>
      <c r="I2" s="381"/>
    </row>
    <row r="3" spans="1:9" ht="15.75" x14ac:dyDescent="0.25">
      <c r="A3" s="392" t="s">
        <v>106</v>
      </c>
      <c r="B3" s="384"/>
      <c r="C3" s="6" t="s">
        <v>234</v>
      </c>
      <c r="D3" s="7" t="s">
        <v>3</v>
      </c>
      <c r="E3" s="382">
        <v>43213</v>
      </c>
      <c r="F3" s="383"/>
      <c r="G3" s="8"/>
      <c r="H3" s="384" t="str">
        <f ca="1">DATEDIF(E3,TODAY(),"m")&amp;"mois"&amp;-DATEDIF(E3,TODAY(),"md")&amp;"jours"</f>
        <v>5mois-19jours</v>
      </c>
      <c r="I3" s="385"/>
    </row>
    <row r="4" spans="1:9" ht="18.75" x14ac:dyDescent="0.25">
      <c r="A4" s="69" t="s">
        <v>117</v>
      </c>
      <c r="B4" s="129"/>
      <c r="C4" s="9" t="s">
        <v>119</v>
      </c>
      <c r="D4" s="10" t="s">
        <v>4</v>
      </c>
      <c r="E4" s="386">
        <f>E3+60</f>
        <v>43273</v>
      </c>
      <c r="F4" s="386"/>
      <c r="G4" s="11"/>
      <c r="H4" s="12"/>
      <c r="I4" s="13"/>
    </row>
    <row r="5" spans="1:9" x14ac:dyDescent="0.25">
      <c r="A5" s="393" t="s">
        <v>76</v>
      </c>
      <c r="B5" s="394"/>
      <c r="C5" s="15"/>
      <c r="D5" s="16"/>
      <c r="E5" s="15"/>
      <c r="F5" s="15"/>
      <c r="G5" s="17"/>
      <c r="H5" s="18"/>
      <c r="I5" s="19"/>
    </row>
    <row r="6" spans="1:9" ht="18.75" x14ac:dyDescent="0.3">
      <c r="A6" s="395" t="s">
        <v>75</v>
      </c>
      <c r="B6" s="396"/>
      <c r="C6" s="387" t="s">
        <v>145</v>
      </c>
      <c r="D6" s="388"/>
      <c r="E6" s="388"/>
      <c r="F6" s="388"/>
      <c r="G6" s="388"/>
      <c r="H6" s="389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22"/>
      <c r="B8" s="200"/>
      <c r="C8" s="28" t="s">
        <v>124</v>
      </c>
      <c r="D8" s="52" t="s">
        <v>38</v>
      </c>
      <c r="E8" s="180">
        <v>16</v>
      </c>
      <c r="F8" s="25"/>
      <c r="G8" s="26" t="s">
        <v>36</v>
      </c>
      <c r="H8" s="27"/>
      <c r="I8" s="19"/>
    </row>
    <row r="9" spans="1:9" x14ac:dyDescent="0.25">
      <c r="A9" s="122"/>
      <c r="B9" s="130"/>
      <c r="C9" s="28" t="s">
        <v>131</v>
      </c>
      <c r="D9" s="53" t="str">
        <f>D8</f>
        <v>TEMA</v>
      </c>
      <c r="E9" s="181">
        <f>E8+1</f>
        <v>17</v>
      </c>
      <c r="F9" s="29"/>
      <c r="G9" s="30" t="s">
        <v>36</v>
      </c>
      <c r="H9" s="27"/>
      <c r="I9" s="19"/>
    </row>
    <row r="10" spans="1:9" ht="15" customHeight="1" x14ac:dyDescent="0.25">
      <c r="A10" s="131"/>
      <c r="B10" s="182"/>
      <c r="C10" s="28" t="s">
        <v>132</v>
      </c>
      <c r="D10" s="52" t="str">
        <f>D9</f>
        <v>TEMA</v>
      </c>
      <c r="E10" s="180">
        <f>E9</f>
        <v>17</v>
      </c>
      <c r="F10" s="31"/>
      <c r="G10" s="30" t="s">
        <v>36</v>
      </c>
      <c r="H10" s="27"/>
      <c r="I10" s="19"/>
    </row>
    <row r="11" spans="1:9" ht="15" customHeight="1" x14ac:dyDescent="0.25">
      <c r="A11" s="131"/>
      <c r="B11" s="132"/>
      <c r="C11" s="28" t="s">
        <v>133</v>
      </c>
      <c r="D11" s="54" t="str">
        <f>D8</f>
        <v>TEMA</v>
      </c>
      <c r="E11" s="180">
        <f>E10+1</f>
        <v>18</v>
      </c>
      <c r="F11" s="31"/>
      <c r="G11" s="30" t="s">
        <v>36</v>
      </c>
      <c r="H11" s="27"/>
      <c r="I11" s="19"/>
    </row>
    <row r="12" spans="1:9" ht="15" customHeight="1" x14ac:dyDescent="0.25">
      <c r="A12" s="144">
        <f>22096.09-2169.56</f>
        <v>19926.53</v>
      </c>
      <c r="B12" s="143">
        <f>A12-9963.26-9963.27</f>
        <v>0</v>
      </c>
      <c r="C12" s="28" t="s">
        <v>134</v>
      </c>
      <c r="D12" s="54" t="str">
        <f t="shared" ref="D12:D13" si="0">D9</f>
        <v>TEMA</v>
      </c>
      <c r="E12" s="180">
        <f>E11+2</f>
        <v>20</v>
      </c>
      <c r="F12" s="31"/>
      <c r="G12" s="30" t="s">
        <v>36</v>
      </c>
      <c r="H12" s="27"/>
      <c r="I12" s="19"/>
    </row>
    <row r="13" spans="1:9" ht="15" customHeight="1" x14ac:dyDescent="0.25">
      <c r="A13" s="131"/>
      <c r="B13" s="132"/>
      <c r="C13" s="28" t="s">
        <v>172</v>
      </c>
      <c r="D13" s="54" t="str">
        <f t="shared" si="0"/>
        <v>TEMA</v>
      </c>
      <c r="E13" s="180">
        <f>E12+1</f>
        <v>21</v>
      </c>
      <c r="F13" s="31"/>
      <c r="G13" s="30" t="s">
        <v>36</v>
      </c>
      <c r="H13" s="27"/>
      <c r="I13" s="19"/>
    </row>
    <row r="14" spans="1:9" ht="15" customHeight="1" x14ac:dyDescent="0.25">
      <c r="A14" s="131"/>
      <c r="B14" s="132"/>
      <c r="C14" s="55" t="s">
        <v>136</v>
      </c>
      <c r="D14" s="205" t="s">
        <v>68</v>
      </c>
      <c r="E14" s="204">
        <f>E13</f>
        <v>21</v>
      </c>
      <c r="F14" s="206"/>
      <c r="G14" s="58" t="s">
        <v>9</v>
      </c>
      <c r="H14" s="59"/>
      <c r="I14" s="19"/>
    </row>
    <row r="15" spans="1:9" x14ac:dyDescent="0.25">
      <c r="A15" s="131"/>
      <c r="B15" s="132"/>
      <c r="C15" s="28" t="s">
        <v>62</v>
      </c>
      <c r="D15" s="53" t="s">
        <v>64</v>
      </c>
      <c r="E15" s="24">
        <f>E10+4</f>
        <v>21</v>
      </c>
      <c r="F15" s="29"/>
      <c r="G15" s="30" t="s">
        <v>70</v>
      </c>
      <c r="H15" s="27"/>
      <c r="I15" s="19"/>
    </row>
    <row r="16" spans="1:9" x14ac:dyDescent="0.25">
      <c r="A16" s="131"/>
      <c r="B16" s="132"/>
      <c r="C16" s="28" t="s">
        <v>10</v>
      </c>
      <c r="D16" s="52" t="s">
        <v>64</v>
      </c>
      <c r="E16" s="24">
        <f>E10+1</f>
        <v>18</v>
      </c>
      <c r="F16" s="29"/>
      <c r="G16" s="30" t="s">
        <v>70</v>
      </c>
      <c r="H16" s="27"/>
      <c r="I16" s="19"/>
    </row>
    <row r="17" spans="1:9" x14ac:dyDescent="0.25">
      <c r="A17" s="131"/>
      <c r="B17" s="132"/>
      <c r="C17" s="28" t="s">
        <v>11</v>
      </c>
      <c r="D17" s="53" t="s">
        <v>38</v>
      </c>
      <c r="E17" s="24">
        <v>22</v>
      </c>
      <c r="F17" s="29"/>
      <c r="G17" s="30" t="s">
        <v>36</v>
      </c>
      <c r="H17" s="27"/>
      <c r="I17" s="19"/>
    </row>
    <row r="18" spans="1:9" x14ac:dyDescent="0.25">
      <c r="A18" s="143"/>
      <c r="B18" s="143">
        <f>A18</f>
        <v>0</v>
      </c>
      <c r="C18" s="55" t="s">
        <v>12</v>
      </c>
      <c r="D18" s="60" t="s">
        <v>68</v>
      </c>
      <c r="E18" s="204">
        <f>IF(E13="","",MOD(E17+1,52))</f>
        <v>23</v>
      </c>
      <c r="F18" s="57"/>
      <c r="G18" s="58" t="s">
        <v>9</v>
      </c>
      <c r="H18" s="59"/>
      <c r="I18" s="19"/>
    </row>
    <row r="19" spans="1:9" x14ac:dyDescent="0.25">
      <c r="A19" s="131"/>
      <c r="B19" s="132"/>
      <c r="C19" s="28" t="s">
        <v>186</v>
      </c>
      <c r="D19" s="53" t="str">
        <f>D10</f>
        <v>TEMA</v>
      </c>
      <c r="E19" s="24">
        <v>23</v>
      </c>
      <c r="F19" s="29"/>
      <c r="G19" s="30" t="s">
        <v>36</v>
      </c>
      <c r="H19" s="27"/>
      <c r="I19" s="19"/>
    </row>
    <row r="20" spans="1:9" x14ac:dyDescent="0.25">
      <c r="A20" s="142"/>
      <c r="B20" s="143">
        <f>A20</f>
        <v>0</v>
      </c>
      <c r="C20" s="55" t="s">
        <v>59</v>
      </c>
      <c r="D20" s="60" t="s">
        <v>68</v>
      </c>
      <c r="E20" s="61">
        <f>IF(E19="","",MOD(E19+1,52))</f>
        <v>24</v>
      </c>
      <c r="F20" s="57"/>
      <c r="G20" s="58" t="s">
        <v>9</v>
      </c>
      <c r="H20" s="59"/>
      <c r="I20" s="19"/>
    </row>
    <row r="21" spans="1:9" x14ac:dyDescent="0.25">
      <c r="A21" s="149"/>
      <c r="B21" s="143">
        <f>A21</f>
        <v>0</v>
      </c>
      <c r="C21" s="28" t="s">
        <v>60</v>
      </c>
      <c r="D21" s="54" t="s">
        <v>43</v>
      </c>
      <c r="E21" s="24">
        <v>30</v>
      </c>
      <c r="F21" s="29"/>
      <c r="G21" s="30" t="s">
        <v>36</v>
      </c>
      <c r="H21" s="50"/>
      <c r="I21" s="19"/>
    </row>
    <row r="22" spans="1:9" x14ac:dyDescent="0.25">
      <c r="A22" s="319">
        <v>3319.14</v>
      </c>
      <c r="B22" s="143">
        <f>A22-3319.14</f>
        <v>0</v>
      </c>
      <c r="C22" s="167" t="s">
        <v>13</v>
      </c>
      <c r="D22" s="168" t="s">
        <v>43</v>
      </c>
      <c r="E22" s="169">
        <v>30</v>
      </c>
      <c r="F22" s="170"/>
      <c r="G22" s="171" t="s">
        <v>36</v>
      </c>
      <c r="H22" s="172"/>
      <c r="I22" s="19"/>
    </row>
    <row r="23" spans="1:9" x14ac:dyDescent="0.25">
      <c r="A23" s="144">
        <v>4908.6499999999996</v>
      </c>
      <c r="B23" s="143">
        <f>A23-4908.65</f>
        <v>0</v>
      </c>
      <c r="C23" s="32" t="s">
        <v>138</v>
      </c>
      <c r="D23" s="52" t="s">
        <v>45</v>
      </c>
      <c r="E23" s="24">
        <v>26</v>
      </c>
      <c r="F23" s="29"/>
      <c r="G23" s="30" t="s">
        <v>36</v>
      </c>
      <c r="H23" s="27"/>
      <c r="I23" s="19"/>
    </row>
    <row r="24" spans="1:9" x14ac:dyDescent="0.25">
      <c r="A24" s="131"/>
      <c r="B24" s="132"/>
      <c r="C24" s="28" t="s">
        <v>14</v>
      </c>
      <c r="D24" s="53" t="str">
        <f>D17</f>
        <v>TEMA</v>
      </c>
      <c r="E24" s="24">
        <f>IF(E20="","",MOD(E20+2,52))</f>
        <v>26</v>
      </c>
      <c r="F24" s="29"/>
      <c r="G24" s="30" t="s">
        <v>36</v>
      </c>
      <c r="H24" s="27"/>
      <c r="I24" s="19"/>
    </row>
    <row r="25" spans="1:9" x14ac:dyDescent="0.25">
      <c r="A25" s="144"/>
      <c r="B25" s="143">
        <f>A25</f>
        <v>0</v>
      </c>
      <c r="C25" s="183" t="s">
        <v>137</v>
      </c>
      <c r="D25" s="53" t="s">
        <v>56</v>
      </c>
      <c r="E25" s="24">
        <v>27</v>
      </c>
      <c r="F25" s="280">
        <v>43287</v>
      </c>
      <c r="G25" s="72" t="s">
        <v>36</v>
      </c>
      <c r="H25" s="27"/>
      <c r="I25" s="19"/>
    </row>
    <row r="26" spans="1:9" x14ac:dyDescent="0.25">
      <c r="A26" s="131"/>
      <c r="B26" s="132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145"/>
      <c r="B27" s="146"/>
      <c r="C27" s="387" t="s">
        <v>144</v>
      </c>
      <c r="D27" s="388"/>
      <c r="E27" s="388"/>
      <c r="F27" s="388"/>
      <c r="G27" s="388"/>
      <c r="H27" s="389"/>
      <c r="I27" s="19"/>
    </row>
    <row r="28" spans="1:9" ht="15.75" thickBot="1" x14ac:dyDescent="0.3">
      <c r="A28" s="131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43"/>
      <c r="B29" s="143">
        <f>A29</f>
        <v>0</v>
      </c>
      <c r="C29" s="78" t="s">
        <v>66</v>
      </c>
      <c r="D29" s="52" t="s">
        <v>64</v>
      </c>
      <c r="E29" s="79">
        <f>IF(E24="","",MOD(E24+1,52))</f>
        <v>27</v>
      </c>
      <c r="F29" s="25"/>
      <c r="G29" s="26" t="s">
        <v>70</v>
      </c>
      <c r="H29" s="27"/>
      <c r="I29" s="19"/>
    </row>
    <row r="30" spans="1:9" x14ac:dyDescent="0.25">
      <c r="A30" s="144">
        <v>3471.34</v>
      </c>
      <c r="B30" s="143">
        <f>A30-3471.34</f>
        <v>0</v>
      </c>
      <c r="C30" s="28" t="s">
        <v>67</v>
      </c>
      <c r="D30" s="53" t="s">
        <v>47</v>
      </c>
      <c r="E30" s="24">
        <v>30</v>
      </c>
      <c r="F30" s="29"/>
      <c r="G30" s="30" t="s">
        <v>36</v>
      </c>
      <c r="H30" s="27"/>
      <c r="I30" s="19"/>
    </row>
    <row r="31" spans="1:9" x14ac:dyDescent="0.25">
      <c r="A31" s="131"/>
      <c r="B31" s="132"/>
      <c r="C31" s="62" t="s">
        <v>16</v>
      </c>
      <c r="D31" s="52" t="str">
        <f>D29</f>
        <v>A CHARGE CLIENT</v>
      </c>
      <c r="E31" s="24">
        <f>IF(E30="","",MOD(E30+2,52))</f>
        <v>32</v>
      </c>
      <c r="F31" s="29"/>
      <c r="G31" s="30" t="s">
        <v>70</v>
      </c>
      <c r="H31" s="27"/>
      <c r="I31" s="19"/>
    </row>
    <row r="32" spans="1:9" x14ac:dyDescent="0.25">
      <c r="A32" s="144"/>
      <c r="B32" s="143">
        <f>A32</f>
        <v>0</v>
      </c>
      <c r="C32" s="80" t="s">
        <v>17</v>
      </c>
      <c r="D32" s="53" t="s">
        <v>51</v>
      </c>
      <c r="E32" s="24">
        <v>38</v>
      </c>
      <c r="F32" s="29"/>
      <c r="G32" s="30" t="s">
        <v>36</v>
      </c>
      <c r="H32" s="27"/>
      <c r="I32" s="19"/>
    </row>
    <row r="33" spans="1:9" x14ac:dyDescent="0.25">
      <c r="A33" s="143"/>
      <c r="B33" s="143"/>
      <c r="C33" s="62" t="s">
        <v>140</v>
      </c>
      <c r="D33" s="52" t="s">
        <v>51</v>
      </c>
      <c r="E33" s="24">
        <f>IF(E32="","",MOD(E32+1,52))</f>
        <v>39</v>
      </c>
      <c r="F33" s="29"/>
      <c r="G33" s="30" t="s">
        <v>36</v>
      </c>
      <c r="H33" s="27"/>
      <c r="I33" s="19"/>
    </row>
    <row r="34" spans="1:9" x14ac:dyDescent="0.25">
      <c r="A34" s="144"/>
      <c r="B34" s="143">
        <f>A34</f>
        <v>0</v>
      </c>
      <c r="C34" s="28" t="s">
        <v>141</v>
      </c>
      <c r="D34" s="53" t="s">
        <v>51</v>
      </c>
      <c r="E34" s="24">
        <f>IF(E32="","",MOD(E32+1,52))</f>
        <v>39</v>
      </c>
      <c r="F34" s="29"/>
      <c r="G34" s="320" t="s">
        <v>36</v>
      </c>
      <c r="H34" s="27"/>
      <c r="I34" s="19"/>
    </row>
    <row r="35" spans="1:9" x14ac:dyDescent="0.25">
      <c r="A35" s="131"/>
      <c r="B35" s="13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144"/>
      <c r="B36" s="143">
        <f>A36</f>
        <v>0</v>
      </c>
      <c r="C36" s="28" t="s">
        <v>19</v>
      </c>
      <c r="D36" s="53" t="s">
        <v>52</v>
      </c>
      <c r="E36" s="24">
        <v>42</v>
      </c>
      <c r="F36" s="29"/>
      <c r="G36" s="30"/>
      <c r="H36" s="27"/>
      <c r="I36" s="19"/>
    </row>
    <row r="37" spans="1:9" x14ac:dyDescent="0.25">
      <c r="A37" s="131"/>
      <c r="B37" s="132"/>
      <c r="C37" s="28" t="s">
        <v>20</v>
      </c>
      <c r="D37" s="52" t="str">
        <f>D30</f>
        <v>SOARES</v>
      </c>
      <c r="E37" s="24">
        <f>IF(E36="","",MOD(E36+1,52))</f>
        <v>43</v>
      </c>
      <c r="F37" s="29"/>
      <c r="G37" s="30"/>
      <c r="H37" s="27"/>
      <c r="I37" s="19"/>
    </row>
    <row r="38" spans="1:9" x14ac:dyDescent="0.25">
      <c r="A38" s="131"/>
      <c r="B38" s="132"/>
      <c r="C38" s="28" t="s">
        <v>21</v>
      </c>
      <c r="D38" s="53" t="str">
        <f>D29</f>
        <v>A CHARGE CLIENT</v>
      </c>
      <c r="E38" s="24">
        <f>IF(E37="","",MOD(E37+1,52))</f>
        <v>44</v>
      </c>
      <c r="F38" s="29"/>
      <c r="G38" s="30" t="s">
        <v>9</v>
      </c>
      <c r="H38" s="27"/>
      <c r="I38" s="19"/>
    </row>
    <row r="39" spans="1:9" x14ac:dyDescent="0.25">
      <c r="A39" s="131"/>
      <c r="B39" s="132"/>
      <c r="C39" s="28" t="s">
        <v>22</v>
      </c>
      <c r="D39" s="52" t="str">
        <f>D32</f>
        <v>EKOTHERM</v>
      </c>
      <c r="E39" s="24">
        <f>IF(E37="","",MOD(E37+1,52))</f>
        <v>44</v>
      </c>
      <c r="F39" s="29"/>
      <c r="G39" s="30"/>
      <c r="H39" s="27"/>
      <c r="I39" s="19"/>
    </row>
    <row r="40" spans="1:9" x14ac:dyDescent="0.25">
      <c r="A40" s="131"/>
      <c r="B40" s="132"/>
      <c r="C40" s="28" t="s">
        <v>23</v>
      </c>
      <c r="D40" s="53" t="s">
        <v>64</v>
      </c>
      <c r="E40" s="24">
        <f>E36+4</f>
        <v>46</v>
      </c>
      <c r="F40" s="29"/>
      <c r="G40" s="30" t="s">
        <v>70</v>
      </c>
      <c r="H40" s="27"/>
      <c r="I40" s="19"/>
    </row>
    <row r="41" spans="1:9" x14ac:dyDescent="0.25">
      <c r="A41" s="131"/>
      <c r="B41" s="132"/>
      <c r="C41" s="28" t="s">
        <v>24</v>
      </c>
      <c r="D41" s="52" t="s">
        <v>64</v>
      </c>
      <c r="E41" s="24">
        <f>E39+1</f>
        <v>45</v>
      </c>
      <c r="F41" s="29"/>
      <c r="G41" s="30" t="s">
        <v>70</v>
      </c>
      <c r="H41" s="27"/>
      <c r="I41" s="19"/>
    </row>
    <row r="42" spans="1:9" x14ac:dyDescent="0.25">
      <c r="A42" s="131"/>
      <c r="B42" s="132"/>
      <c r="C42" s="28" t="s">
        <v>25</v>
      </c>
      <c r="D42" s="53" t="str">
        <f>D34</f>
        <v>EKOTHERM</v>
      </c>
      <c r="E42" s="24">
        <f>IF(E40="","",MOD(E40+2,52))</f>
        <v>48</v>
      </c>
      <c r="F42" s="29"/>
      <c r="G42" s="30"/>
      <c r="H42" s="27"/>
      <c r="I42" s="19"/>
    </row>
    <row r="43" spans="1:9" x14ac:dyDescent="0.25">
      <c r="A43" s="143"/>
      <c r="B43" s="143">
        <f>A43</f>
        <v>0</v>
      </c>
      <c r="C43" s="81" t="s">
        <v>147</v>
      </c>
      <c r="D43" s="52" t="s">
        <v>64</v>
      </c>
      <c r="E43" s="82">
        <f>E44</f>
        <v>48</v>
      </c>
      <c r="F43" s="83"/>
      <c r="G43" s="72" t="s">
        <v>70</v>
      </c>
      <c r="H43" s="27"/>
      <c r="I43" s="19"/>
    </row>
    <row r="44" spans="1:9" x14ac:dyDescent="0.25">
      <c r="A44" s="144"/>
      <c r="B44" s="143">
        <f>A44</f>
        <v>0</v>
      </c>
      <c r="C44" s="81" t="s">
        <v>139</v>
      </c>
      <c r="D44" s="193" t="s">
        <v>54</v>
      </c>
      <c r="E44" s="82">
        <f>IF(E40="","",MOD(E40+2,52))</f>
        <v>48</v>
      </c>
      <c r="F44" s="83"/>
      <c r="G44" s="72"/>
      <c r="H44" s="194"/>
      <c r="I44" s="19"/>
    </row>
    <row r="45" spans="1:9" x14ac:dyDescent="0.25">
      <c r="A45" s="131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145"/>
      <c r="B46" s="146"/>
      <c r="C46" s="387" t="s">
        <v>146</v>
      </c>
      <c r="D46" s="388"/>
      <c r="E46" s="388"/>
      <c r="F46" s="388"/>
      <c r="G46" s="388"/>
      <c r="H46" s="389"/>
      <c r="I46" s="19"/>
    </row>
    <row r="47" spans="1:9" ht="15.75" thickBot="1" x14ac:dyDescent="0.3">
      <c r="A47" s="131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144"/>
      <c r="B48" s="143">
        <f>A48</f>
        <v>0</v>
      </c>
      <c r="C48" s="88" t="s">
        <v>26</v>
      </c>
      <c r="D48" s="52" t="s">
        <v>65</v>
      </c>
      <c r="E48" s="89">
        <f>E32+1</f>
        <v>39</v>
      </c>
      <c r="F48" s="25"/>
      <c r="G48" s="26"/>
      <c r="H48" s="27"/>
      <c r="I48" s="19"/>
    </row>
    <row r="49" spans="1:9" x14ac:dyDescent="0.25">
      <c r="A49" s="133"/>
      <c r="B49" s="173"/>
      <c r="C49" s="102" t="s">
        <v>69</v>
      </c>
      <c r="D49" s="103" t="s">
        <v>64</v>
      </c>
      <c r="E49" s="104">
        <f>E48</f>
        <v>39</v>
      </c>
      <c r="F49" s="105"/>
      <c r="G49" s="106" t="s">
        <v>70</v>
      </c>
      <c r="H49" s="27"/>
      <c r="I49" s="19"/>
    </row>
    <row r="50" spans="1:9" x14ac:dyDescent="0.25">
      <c r="A50" s="133"/>
      <c r="B50" s="173"/>
      <c r="C50" s="92" t="s">
        <v>61</v>
      </c>
      <c r="D50" s="99" t="s">
        <v>68</v>
      </c>
      <c r="E50" s="101">
        <f>E48+1</f>
        <v>40</v>
      </c>
      <c r="F50" s="95"/>
      <c r="G50" s="96" t="s">
        <v>9</v>
      </c>
      <c r="H50" s="97"/>
      <c r="I50" s="19"/>
    </row>
    <row r="51" spans="1:9" x14ac:dyDescent="0.25">
      <c r="A51" s="264">
        <f>SUM(A12:A50)</f>
        <v>31625.66</v>
      </c>
      <c r="B51" s="264">
        <f>SUM(B12:B50)</f>
        <v>0</v>
      </c>
      <c r="C51" s="91" t="s">
        <v>27</v>
      </c>
      <c r="D51" s="52" t="str">
        <f>D48</f>
        <v>_</v>
      </c>
      <c r="E51" s="90">
        <f>E48+3</f>
        <v>42</v>
      </c>
      <c r="F51" s="29"/>
      <c r="G51" s="72"/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7" t="s">
        <v>142</v>
      </c>
      <c r="I54" s="19"/>
    </row>
    <row r="55" spans="1:9" x14ac:dyDescent="0.25">
      <c r="A55" s="42"/>
      <c r="B55" s="126"/>
      <c r="C55" s="43" t="s">
        <v>122</v>
      </c>
      <c r="D55" s="107">
        <v>43083</v>
      </c>
      <c r="E55" s="44"/>
      <c r="F55" s="45" t="s">
        <v>109</v>
      </c>
      <c r="G55" s="18"/>
      <c r="H55" s="398"/>
      <c r="I55" s="19"/>
    </row>
    <row r="56" spans="1:9" x14ac:dyDescent="0.25">
      <c r="A56" s="42"/>
      <c r="B56" s="126"/>
      <c r="C56" s="33" t="s">
        <v>123</v>
      </c>
      <c r="D56" s="49">
        <v>43195</v>
      </c>
      <c r="E56" s="46"/>
      <c r="F56" s="2" t="s">
        <v>109</v>
      </c>
      <c r="G56" s="18"/>
      <c r="H56" s="399" t="e">
        <f>DATEDIF(E3,D58,"m")&amp;"mois"&amp;DATEDIF(E3,D58,"md")&amp;"jours"</f>
        <v>#NUM!</v>
      </c>
      <c r="I56" s="19"/>
    </row>
    <row r="57" spans="1:9" ht="15.75" thickBot="1" x14ac:dyDescent="0.3">
      <c r="A57" s="42"/>
      <c r="B57" s="126"/>
      <c r="C57" s="33" t="s">
        <v>31</v>
      </c>
      <c r="D57" s="176"/>
      <c r="E57" s="46"/>
      <c r="F57" s="2"/>
      <c r="G57" s="18"/>
      <c r="H57" s="400"/>
      <c r="I57" s="19"/>
    </row>
    <row r="58" spans="1:9" x14ac:dyDescent="0.25">
      <c r="A58" s="42"/>
      <c r="B58" s="126"/>
      <c r="C58" s="47" t="s">
        <v>32</v>
      </c>
      <c r="D58" s="184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1"/>
      <c r="D60" s="371"/>
      <c r="E60" s="371"/>
      <c r="F60" s="371"/>
      <c r="G60" s="371"/>
      <c r="H60" s="371"/>
      <c r="I60" s="372"/>
    </row>
    <row r="61" spans="1:9" x14ac:dyDescent="0.25">
      <c r="A61" s="34"/>
      <c r="B61" s="18"/>
      <c r="C61" s="373"/>
      <c r="D61" s="373"/>
      <c r="E61" s="373"/>
      <c r="F61" s="373"/>
      <c r="G61" s="373"/>
      <c r="H61" s="373"/>
      <c r="I61" s="374"/>
    </row>
    <row r="62" spans="1:9" x14ac:dyDescent="0.25">
      <c r="A62" s="34"/>
      <c r="B62" s="18"/>
      <c r="C62" s="373"/>
      <c r="D62" s="373"/>
      <c r="E62" s="373"/>
      <c r="F62" s="373"/>
      <c r="G62" s="373"/>
      <c r="H62" s="373"/>
      <c r="I62" s="374"/>
    </row>
    <row r="63" spans="1:9" x14ac:dyDescent="0.25">
      <c r="A63" s="34"/>
      <c r="B63" s="18"/>
      <c r="C63" s="373"/>
      <c r="D63" s="373"/>
      <c r="E63" s="373"/>
      <c r="F63" s="373"/>
      <c r="G63" s="373"/>
      <c r="H63" s="373"/>
      <c r="I63" s="374"/>
    </row>
    <row r="64" spans="1:9" x14ac:dyDescent="0.25">
      <c r="A64" s="34"/>
      <c r="B64" s="18"/>
      <c r="C64" s="373"/>
      <c r="D64" s="373"/>
      <c r="E64" s="373"/>
      <c r="F64" s="373"/>
      <c r="G64" s="373"/>
      <c r="H64" s="373"/>
      <c r="I64" s="374"/>
    </row>
    <row r="65" spans="1:9" x14ac:dyDescent="0.25">
      <c r="A65" s="44"/>
      <c r="B65" s="45"/>
      <c r="C65" s="375"/>
      <c r="D65" s="375"/>
      <c r="E65" s="375"/>
      <c r="F65" s="375"/>
      <c r="G65" s="375"/>
      <c r="H65" s="375"/>
      <c r="I65" s="376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H54:H55"/>
    <mergeCell ref="H56:H57"/>
    <mergeCell ref="C60:I65"/>
    <mergeCell ref="E4:F4"/>
    <mergeCell ref="A5:B5"/>
    <mergeCell ref="A6:B6"/>
    <mergeCell ref="C6:H6"/>
    <mergeCell ref="C27:H27"/>
    <mergeCell ref="C46:H46"/>
    <mergeCell ref="A1:G1"/>
    <mergeCell ref="A2:B2"/>
    <mergeCell ref="E2:F2"/>
    <mergeCell ref="H2:I2"/>
    <mergeCell ref="A3:B3"/>
    <mergeCell ref="E3:F3"/>
    <mergeCell ref="H3:I3"/>
  </mergeCells>
  <conditionalFormatting sqref="C52:G52">
    <cfRule type="expression" dxfId="2839" priority="70">
      <formula>$F52="réalisé"</formula>
    </cfRule>
  </conditionalFormatting>
  <conditionalFormatting sqref="C48:C51 E48:H51 E29:H45 C8:H26">
    <cfRule type="expression" dxfId="2838" priority="67">
      <formula>$G8="réalisé"</formula>
    </cfRule>
    <cfRule type="expression" dxfId="2837" priority="68">
      <formula>$G8="en cours"</formula>
    </cfRule>
    <cfRule type="expression" dxfId="2836" priority="69">
      <formula>$G8="non compris"</formula>
    </cfRule>
  </conditionalFormatting>
  <conditionalFormatting sqref="C29:C45">
    <cfRule type="expression" dxfId="2835" priority="64">
      <formula>$G29="réalisé"</formula>
    </cfRule>
    <cfRule type="expression" dxfId="2834" priority="65">
      <formula>$G29="en cours"</formula>
    </cfRule>
    <cfRule type="expression" dxfId="2833" priority="66">
      <formula>$G29="non compris"</formula>
    </cfRule>
  </conditionalFormatting>
  <conditionalFormatting sqref="C55:F58">
    <cfRule type="expression" dxfId="2832" priority="63">
      <formula>$F55="réalisé"</formula>
    </cfRule>
  </conditionalFormatting>
  <conditionalFormatting sqref="G9">
    <cfRule type="expression" dxfId="2831" priority="62">
      <formula>$G$10="réalisé"</formula>
    </cfRule>
  </conditionalFormatting>
  <conditionalFormatting sqref="G10:G14">
    <cfRule type="expression" dxfId="2830" priority="61">
      <formula>$G$15="réalisé"</formula>
    </cfRule>
  </conditionalFormatting>
  <conditionalFormatting sqref="G20:G21">
    <cfRule type="expression" dxfId="2829" priority="60">
      <formula>$G$22="réalisé"</formula>
    </cfRule>
  </conditionalFormatting>
  <conditionalFormatting sqref="G30">
    <cfRule type="expression" dxfId="2828" priority="59">
      <formula>$G$31="réalisé"</formula>
    </cfRule>
  </conditionalFormatting>
  <conditionalFormatting sqref="D29">
    <cfRule type="expression" dxfId="2827" priority="56">
      <formula>$G29="réalisé"</formula>
    </cfRule>
    <cfRule type="expression" dxfId="2826" priority="57">
      <formula>$G29="en cours"</formula>
    </cfRule>
    <cfRule type="expression" dxfId="2825" priority="58">
      <formula>$G29="non compris"</formula>
    </cfRule>
  </conditionalFormatting>
  <conditionalFormatting sqref="D31">
    <cfRule type="expression" dxfId="2824" priority="53">
      <formula>$G31="réalisé"</formula>
    </cfRule>
    <cfRule type="expression" dxfId="2823" priority="54">
      <formula>$G31="en cours"</formula>
    </cfRule>
    <cfRule type="expression" dxfId="2822" priority="55">
      <formula>$G31="non compris"</formula>
    </cfRule>
  </conditionalFormatting>
  <conditionalFormatting sqref="D33">
    <cfRule type="expression" dxfId="2821" priority="50">
      <formula>$G33="réalisé"</formula>
    </cfRule>
    <cfRule type="expression" dxfId="2820" priority="51">
      <formula>$G33="en cours"</formula>
    </cfRule>
    <cfRule type="expression" dxfId="2819" priority="52">
      <formula>$G33="non compris"</formula>
    </cfRule>
  </conditionalFormatting>
  <conditionalFormatting sqref="D35">
    <cfRule type="expression" dxfId="2818" priority="47">
      <formula>$G35="réalisé"</formula>
    </cfRule>
    <cfRule type="expression" dxfId="2817" priority="48">
      <formula>$G35="en cours"</formula>
    </cfRule>
    <cfRule type="expression" dxfId="2816" priority="49">
      <formula>$G35="non compris"</formula>
    </cfRule>
  </conditionalFormatting>
  <conditionalFormatting sqref="D37">
    <cfRule type="expression" dxfId="2815" priority="44">
      <formula>$G37="réalisé"</formula>
    </cfRule>
    <cfRule type="expression" dxfId="2814" priority="45">
      <formula>$G37="en cours"</formula>
    </cfRule>
    <cfRule type="expression" dxfId="2813" priority="46">
      <formula>$G37="non compris"</formula>
    </cfRule>
  </conditionalFormatting>
  <conditionalFormatting sqref="D39">
    <cfRule type="expression" dxfId="2812" priority="41">
      <formula>$G39="réalisé"</formula>
    </cfRule>
    <cfRule type="expression" dxfId="2811" priority="42">
      <formula>$G39="en cours"</formula>
    </cfRule>
    <cfRule type="expression" dxfId="2810" priority="43">
      <formula>$G39="non compris"</formula>
    </cfRule>
  </conditionalFormatting>
  <conditionalFormatting sqref="D41">
    <cfRule type="expression" dxfId="2809" priority="38">
      <formula>$G41="réalisé"</formula>
    </cfRule>
    <cfRule type="expression" dxfId="2808" priority="39">
      <formula>$G41="en cours"</formula>
    </cfRule>
    <cfRule type="expression" dxfId="2807" priority="40">
      <formula>$G41="non compris"</formula>
    </cfRule>
  </conditionalFormatting>
  <conditionalFormatting sqref="D44:D45">
    <cfRule type="expression" dxfId="2806" priority="35">
      <formula>$G44="réalisé"</formula>
    </cfRule>
    <cfRule type="expression" dxfId="2805" priority="36">
      <formula>$G44="en cours"</formula>
    </cfRule>
    <cfRule type="expression" dxfId="2804" priority="37">
      <formula>$G44="non compris"</formula>
    </cfRule>
  </conditionalFormatting>
  <conditionalFormatting sqref="D30">
    <cfRule type="expression" dxfId="2803" priority="32">
      <formula>$G30="réalisé"</formula>
    </cfRule>
    <cfRule type="expression" dxfId="2802" priority="33">
      <formula>$G30="en cours"</formula>
    </cfRule>
    <cfRule type="expression" dxfId="2801" priority="34">
      <formula>$G30="non compris"</formula>
    </cfRule>
  </conditionalFormatting>
  <conditionalFormatting sqref="D32">
    <cfRule type="expression" dxfId="2800" priority="29">
      <formula>$G32="réalisé"</formula>
    </cfRule>
    <cfRule type="expression" dxfId="2799" priority="30">
      <formula>$G32="en cours"</formula>
    </cfRule>
    <cfRule type="expression" dxfId="2798" priority="31">
      <formula>$G32="non compris"</formula>
    </cfRule>
  </conditionalFormatting>
  <conditionalFormatting sqref="D34">
    <cfRule type="expression" dxfId="2797" priority="26">
      <formula>$G34="réalisé"</formula>
    </cfRule>
    <cfRule type="expression" dxfId="2796" priority="27">
      <formula>$G34="en cours"</formula>
    </cfRule>
    <cfRule type="expression" dxfId="2795" priority="28">
      <formula>$G34="non compris"</formula>
    </cfRule>
  </conditionalFormatting>
  <conditionalFormatting sqref="D36">
    <cfRule type="expression" dxfId="2794" priority="23">
      <formula>$G36="réalisé"</formula>
    </cfRule>
    <cfRule type="expression" dxfId="2793" priority="24">
      <formula>$G36="en cours"</formula>
    </cfRule>
    <cfRule type="expression" dxfId="2792" priority="25">
      <formula>$G36="non compris"</formula>
    </cfRule>
  </conditionalFormatting>
  <conditionalFormatting sqref="D38">
    <cfRule type="expression" dxfId="2791" priority="20">
      <formula>$G38="réalisé"</formula>
    </cfRule>
    <cfRule type="expression" dxfId="2790" priority="21">
      <formula>$G38="en cours"</formula>
    </cfRule>
    <cfRule type="expression" dxfId="2789" priority="22">
      <formula>$G38="non compris"</formula>
    </cfRule>
  </conditionalFormatting>
  <conditionalFormatting sqref="D40">
    <cfRule type="expression" dxfId="2788" priority="17">
      <formula>$G40="réalisé"</formula>
    </cfRule>
    <cfRule type="expression" dxfId="2787" priority="18">
      <formula>$G40="en cours"</formula>
    </cfRule>
    <cfRule type="expression" dxfId="2786" priority="19">
      <formula>$G40="non compris"</formula>
    </cfRule>
  </conditionalFormatting>
  <conditionalFormatting sqref="D42:D43">
    <cfRule type="expression" dxfId="2785" priority="14">
      <formula>$G42="réalisé"</formula>
    </cfRule>
    <cfRule type="expression" dxfId="2784" priority="15">
      <formula>$G42="en cours"</formula>
    </cfRule>
    <cfRule type="expression" dxfId="2783" priority="16">
      <formula>$G42="non compris"</formula>
    </cfRule>
  </conditionalFormatting>
  <conditionalFormatting sqref="D50">
    <cfRule type="expression" dxfId="2782" priority="11">
      <formula>$G50="réalisé"</formula>
    </cfRule>
    <cfRule type="expression" dxfId="2781" priority="12">
      <formula>$G50="en cours"</formula>
    </cfRule>
    <cfRule type="expression" dxfId="2780" priority="13">
      <formula>$G50="non compris"</formula>
    </cfRule>
  </conditionalFormatting>
  <conditionalFormatting sqref="D49">
    <cfRule type="expression" dxfId="2779" priority="8">
      <formula>$G49="réalisé"</formula>
    </cfRule>
    <cfRule type="expression" dxfId="2778" priority="9">
      <formula>$G49="en cours"</formula>
    </cfRule>
    <cfRule type="expression" dxfId="2777" priority="10">
      <formula>$G49="non compris"</formula>
    </cfRule>
  </conditionalFormatting>
  <conditionalFormatting sqref="D48">
    <cfRule type="expression" dxfId="2776" priority="5">
      <formula>$G48="réalisé"</formula>
    </cfRule>
    <cfRule type="expression" dxfId="2775" priority="6">
      <formula>$G48="en cours"</formula>
    </cfRule>
    <cfRule type="expression" dxfId="2774" priority="7">
      <formula>$G48="non compris"</formula>
    </cfRule>
  </conditionalFormatting>
  <conditionalFormatting sqref="D51">
    <cfRule type="expression" dxfId="2773" priority="2">
      <formula>$G51="réalisé"</formula>
    </cfRule>
    <cfRule type="expression" dxfId="2772" priority="3">
      <formula>$G51="en cours"</formula>
    </cfRule>
    <cfRule type="expression" dxfId="2771" priority="4">
      <formula>$G51="non compris"</formula>
    </cfRule>
  </conditionalFormatting>
  <conditionalFormatting sqref="D8:D26">
    <cfRule type="expression" dxfId="2770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82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50"/>
    <pageSetUpPr fitToPage="1"/>
  </sheetPr>
  <dimension ref="A1:I74"/>
  <sheetViews>
    <sheetView topLeftCell="A25" zoomScaleNormal="100" workbookViewId="0">
      <selection activeCell="G10" sqref="G10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7" t="s">
        <v>0</v>
      </c>
      <c r="B1" s="378"/>
      <c r="C1" s="378"/>
      <c r="D1" s="378"/>
      <c r="E1" s="378"/>
      <c r="F1" s="378"/>
      <c r="G1" s="378"/>
      <c r="H1" s="1" t="s">
        <v>1</v>
      </c>
      <c r="I1" s="3">
        <f ca="1">INT(MOD(INT((LISTE!D1-2)/7)+0.6,52+5/28))+1</f>
        <v>41</v>
      </c>
    </row>
    <row r="2" spans="1:9" x14ac:dyDescent="0.25">
      <c r="A2" s="390" t="s">
        <v>2</v>
      </c>
      <c r="B2" s="391"/>
      <c r="C2" s="70" t="str">
        <f ca="1">MID(CELL("nomfichier",A1),FIND("]",CELL("nomfichier",A1),1)+1,30)</f>
        <v>DUSSART</v>
      </c>
      <c r="D2" s="4" t="s">
        <v>72</v>
      </c>
      <c r="E2" s="379"/>
      <c r="F2" s="379"/>
      <c r="G2" s="5"/>
      <c r="H2" s="380" t="s">
        <v>143</v>
      </c>
      <c r="I2" s="381"/>
    </row>
    <row r="3" spans="1:9" ht="15.75" x14ac:dyDescent="0.25">
      <c r="A3" s="392" t="s">
        <v>106</v>
      </c>
      <c r="B3" s="384"/>
      <c r="C3" s="6" t="s">
        <v>289</v>
      </c>
      <c r="D3" s="7" t="s">
        <v>3</v>
      </c>
      <c r="E3" s="382">
        <v>43376</v>
      </c>
      <c r="F3" s="383"/>
      <c r="G3" s="8"/>
      <c r="H3" s="384" t="str">
        <f ca="1">DATEDIF(E3,TODAY(),"m")&amp;"mois"&amp;-DATEDIF(E3,TODAY(),"md")&amp;"jours"</f>
        <v>0mois-9jours</v>
      </c>
      <c r="I3" s="385"/>
    </row>
    <row r="4" spans="1:9" ht="18.75" x14ac:dyDescent="0.25">
      <c r="A4" s="69" t="s">
        <v>117</v>
      </c>
      <c r="B4" s="129"/>
      <c r="C4" s="9"/>
      <c r="D4" s="10" t="s">
        <v>4</v>
      </c>
      <c r="E4" s="386">
        <f>E3+60</f>
        <v>43436</v>
      </c>
      <c r="F4" s="386"/>
      <c r="G4" s="11"/>
      <c r="H4" s="12"/>
      <c r="I4" s="13"/>
    </row>
    <row r="5" spans="1:9" x14ac:dyDescent="0.25">
      <c r="A5" s="393" t="s">
        <v>76</v>
      </c>
      <c r="B5" s="394"/>
      <c r="C5" s="15"/>
      <c r="D5" s="16"/>
      <c r="E5" s="15"/>
      <c r="F5" s="15"/>
      <c r="G5" s="17"/>
      <c r="H5" s="18"/>
      <c r="I5" s="19"/>
    </row>
    <row r="6" spans="1:9" ht="18.75" x14ac:dyDescent="0.3">
      <c r="A6" s="395" t="s">
        <v>75</v>
      </c>
      <c r="B6" s="396"/>
      <c r="C6" s="387" t="s">
        <v>145</v>
      </c>
      <c r="D6" s="388"/>
      <c r="E6" s="388"/>
      <c r="F6" s="388"/>
      <c r="G6" s="388"/>
      <c r="H6" s="389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22"/>
      <c r="B8" s="200"/>
      <c r="C8" s="28" t="s">
        <v>124</v>
      </c>
      <c r="D8" s="52" t="s">
        <v>38</v>
      </c>
      <c r="E8" s="180">
        <v>40</v>
      </c>
      <c r="F8" s="25"/>
      <c r="G8" s="26" t="s">
        <v>36</v>
      </c>
      <c r="H8" s="27"/>
      <c r="I8" s="19"/>
    </row>
    <row r="9" spans="1:9" x14ac:dyDescent="0.25">
      <c r="A9" s="122"/>
      <c r="B9" s="130"/>
      <c r="C9" s="28" t="s">
        <v>131</v>
      </c>
      <c r="D9" s="53" t="str">
        <f>D8</f>
        <v>TEMA</v>
      </c>
      <c r="E9" s="181">
        <f>E8+1</f>
        <v>41</v>
      </c>
      <c r="F9" s="29"/>
      <c r="G9" s="30" t="s">
        <v>36</v>
      </c>
      <c r="H9" s="27"/>
      <c r="I9" s="19"/>
    </row>
    <row r="10" spans="1:9" ht="15" customHeight="1" x14ac:dyDescent="0.25">
      <c r="A10" s="131"/>
      <c r="B10" s="182"/>
      <c r="C10" s="28" t="s">
        <v>132</v>
      </c>
      <c r="D10" s="52" t="str">
        <f>D9</f>
        <v>TEMA</v>
      </c>
      <c r="E10" s="180">
        <f>E9</f>
        <v>41</v>
      </c>
      <c r="F10" s="31"/>
      <c r="G10" s="30" t="s">
        <v>36</v>
      </c>
      <c r="H10" s="27"/>
      <c r="I10" s="19"/>
    </row>
    <row r="11" spans="1:9" ht="15" customHeight="1" x14ac:dyDescent="0.25">
      <c r="A11" s="131"/>
      <c r="B11" s="132"/>
      <c r="C11" s="28" t="s">
        <v>133</v>
      </c>
      <c r="D11" s="54" t="str">
        <f>D8</f>
        <v>TEMA</v>
      </c>
      <c r="E11" s="180">
        <f>E10+1</f>
        <v>42</v>
      </c>
      <c r="F11" s="31"/>
      <c r="G11" s="30" t="s">
        <v>9</v>
      </c>
      <c r="H11" s="27"/>
      <c r="I11" s="19"/>
    </row>
    <row r="12" spans="1:9" ht="15" customHeight="1" x14ac:dyDescent="0.25">
      <c r="A12" s="144">
        <v>14417.2</v>
      </c>
      <c r="B12" s="143">
        <f>A12</f>
        <v>14417.2</v>
      </c>
      <c r="C12" s="28" t="s">
        <v>134</v>
      </c>
      <c r="D12" s="54" t="str">
        <f t="shared" ref="D12:D14" si="0">D9</f>
        <v>TEMA</v>
      </c>
      <c r="E12" s="180">
        <v>43</v>
      </c>
      <c r="F12" s="31"/>
      <c r="G12" s="30" t="s">
        <v>9</v>
      </c>
      <c r="H12" s="27"/>
      <c r="I12" s="19"/>
    </row>
    <row r="13" spans="1:9" ht="15" customHeight="1" x14ac:dyDescent="0.25">
      <c r="A13" s="131"/>
      <c r="B13" s="132"/>
      <c r="C13" s="28" t="s">
        <v>135</v>
      </c>
      <c r="D13" s="54" t="str">
        <f t="shared" si="0"/>
        <v>TEMA</v>
      </c>
      <c r="E13" s="180">
        <f>E12+1</f>
        <v>44</v>
      </c>
      <c r="F13" s="31"/>
      <c r="G13" s="30" t="s">
        <v>9</v>
      </c>
      <c r="H13" s="27"/>
      <c r="I13" s="19"/>
    </row>
    <row r="14" spans="1:9" ht="15" customHeight="1" x14ac:dyDescent="0.25">
      <c r="A14" s="131"/>
      <c r="B14" s="132"/>
      <c r="C14" s="28" t="s">
        <v>136</v>
      </c>
      <c r="D14" s="54" t="str">
        <f t="shared" si="0"/>
        <v>TEMA</v>
      </c>
      <c r="E14" s="180">
        <f>E13</f>
        <v>44</v>
      </c>
      <c r="F14" s="31"/>
      <c r="G14" s="30" t="s">
        <v>9</v>
      </c>
      <c r="H14" s="27"/>
      <c r="I14" s="19"/>
    </row>
    <row r="15" spans="1:9" x14ac:dyDescent="0.25">
      <c r="A15" s="131"/>
      <c r="B15" s="132"/>
      <c r="C15" s="28" t="s">
        <v>62</v>
      </c>
      <c r="D15" s="53" t="s">
        <v>64</v>
      </c>
      <c r="E15" s="24">
        <f>E10+1</f>
        <v>42</v>
      </c>
      <c r="F15" s="29"/>
      <c r="G15" s="30" t="s">
        <v>70</v>
      </c>
      <c r="H15" s="27"/>
      <c r="I15" s="19"/>
    </row>
    <row r="16" spans="1:9" x14ac:dyDescent="0.25">
      <c r="A16" s="131"/>
      <c r="B16" s="132"/>
      <c r="C16" s="28" t="s">
        <v>10</v>
      </c>
      <c r="D16" s="52" t="s">
        <v>64</v>
      </c>
      <c r="E16" s="24">
        <f>E15+1</f>
        <v>43</v>
      </c>
      <c r="F16" s="29"/>
      <c r="G16" s="30" t="s">
        <v>70</v>
      </c>
      <c r="H16" s="27"/>
      <c r="I16" s="19"/>
    </row>
    <row r="17" spans="1:9" x14ac:dyDescent="0.25">
      <c r="A17" s="131"/>
      <c r="B17" s="132"/>
      <c r="C17" s="28" t="s">
        <v>11</v>
      </c>
      <c r="D17" s="53" t="s">
        <v>38</v>
      </c>
      <c r="E17" s="24">
        <f>E13+1</f>
        <v>45</v>
      </c>
      <c r="F17" s="29"/>
      <c r="G17" s="30" t="s">
        <v>9</v>
      </c>
      <c r="H17" s="27"/>
      <c r="I17" s="19"/>
    </row>
    <row r="18" spans="1:9" x14ac:dyDescent="0.25">
      <c r="A18" s="144">
        <v>674.65</v>
      </c>
      <c r="B18" s="143">
        <f>A18</f>
        <v>674.65</v>
      </c>
      <c r="C18" s="28" t="s">
        <v>12</v>
      </c>
      <c r="D18" s="52" t="s">
        <v>41</v>
      </c>
      <c r="E18" s="180">
        <f>IF(E13="","",MOD(E17+1,52))</f>
        <v>46</v>
      </c>
      <c r="F18" s="29"/>
      <c r="G18" s="30" t="s">
        <v>9</v>
      </c>
      <c r="H18" s="27"/>
      <c r="I18" s="19"/>
    </row>
    <row r="19" spans="1:9" x14ac:dyDescent="0.25">
      <c r="A19" s="131"/>
      <c r="B19" s="132"/>
      <c r="C19" s="28" t="s">
        <v>73</v>
      </c>
      <c r="D19" s="53" t="str">
        <f>D10</f>
        <v>TEMA</v>
      </c>
      <c r="E19" s="24">
        <f>IF(E18="","",MOD(E18+1,52))</f>
        <v>47</v>
      </c>
      <c r="F19" s="29"/>
      <c r="G19" s="30" t="s">
        <v>9</v>
      </c>
      <c r="H19" s="27"/>
      <c r="I19" s="19"/>
    </row>
    <row r="20" spans="1:9" x14ac:dyDescent="0.25">
      <c r="A20" s="149">
        <v>606.79999999999995</v>
      </c>
      <c r="B20" s="143">
        <f>A20</f>
        <v>606.79999999999995</v>
      </c>
      <c r="C20" s="28" t="s">
        <v>59</v>
      </c>
      <c r="D20" s="52" t="s">
        <v>41</v>
      </c>
      <c r="E20" s="24">
        <f>IF(E19="","",MOD(E19+1,52))</f>
        <v>48</v>
      </c>
      <c r="F20" s="29"/>
      <c r="G20" s="30" t="s">
        <v>9</v>
      </c>
      <c r="H20" s="27"/>
      <c r="I20" s="19"/>
    </row>
    <row r="21" spans="1:9" x14ac:dyDescent="0.25">
      <c r="A21" s="149">
        <v>142.33000000000001</v>
      </c>
      <c r="B21" s="143">
        <f>A21</f>
        <v>142.33000000000001</v>
      </c>
      <c r="C21" s="28" t="s">
        <v>60</v>
      </c>
      <c r="D21" s="54" t="s">
        <v>44</v>
      </c>
      <c r="E21" s="24">
        <f>E20</f>
        <v>48</v>
      </c>
      <c r="F21" s="29"/>
      <c r="G21" s="30" t="s">
        <v>9</v>
      </c>
      <c r="H21" s="50"/>
      <c r="I21" s="19"/>
    </row>
    <row r="22" spans="1:9" x14ac:dyDescent="0.25">
      <c r="A22" s="131"/>
      <c r="B22" s="132"/>
      <c r="C22" s="167" t="s">
        <v>13</v>
      </c>
      <c r="D22" s="168" t="s">
        <v>65</v>
      </c>
      <c r="E22" s="169">
        <f>E20</f>
        <v>48</v>
      </c>
      <c r="F22" s="170"/>
      <c r="G22" s="171" t="s">
        <v>9</v>
      </c>
      <c r="H22" s="172"/>
      <c r="I22" s="19"/>
    </row>
    <row r="23" spans="1:9" x14ac:dyDescent="0.25">
      <c r="A23" s="144">
        <v>2120.04</v>
      </c>
      <c r="B23" s="143">
        <f>A23</f>
        <v>2120.04</v>
      </c>
      <c r="C23" s="32" t="s">
        <v>138</v>
      </c>
      <c r="D23" s="52" t="s">
        <v>45</v>
      </c>
      <c r="E23" s="24">
        <f>IF(E20="","",MOD(E20+2,52))</f>
        <v>50</v>
      </c>
      <c r="F23" s="29"/>
      <c r="G23" s="30" t="s">
        <v>9</v>
      </c>
      <c r="H23" s="27"/>
      <c r="I23" s="19"/>
    </row>
    <row r="24" spans="1:9" x14ac:dyDescent="0.25">
      <c r="A24" s="131"/>
      <c r="B24" s="132"/>
      <c r="C24" s="28" t="s">
        <v>14</v>
      </c>
      <c r="D24" s="53" t="str">
        <f>D17</f>
        <v>TEMA</v>
      </c>
      <c r="E24" s="24">
        <f>IF(E20="","",MOD(E20+2,52))</f>
        <v>50</v>
      </c>
      <c r="F24" s="29"/>
      <c r="G24" s="30" t="s">
        <v>9</v>
      </c>
      <c r="H24" s="27"/>
      <c r="I24" s="19"/>
    </row>
    <row r="25" spans="1:9" x14ac:dyDescent="0.25">
      <c r="A25" s="144"/>
      <c r="B25" s="143">
        <f>A25</f>
        <v>0</v>
      </c>
      <c r="C25" s="183" t="s">
        <v>137</v>
      </c>
      <c r="D25" s="53" t="s">
        <v>55</v>
      </c>
      <c r="E25" s="24">
        <f>E23</f>
        <v>50</v>
      </c>
      <c r="F25" s="29"/>
      <c r="G25" s="72" t="s">
        <v>9</v>
      </c>
      <c r="H25" s="27"/>
      <c r="I25" s="19"/>
    </row>
    <row r="26" spans="1:9" x14ac:dyDescent="0.25">
      <c r="A26" s="131"/>
      <c r="B26" s="132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145"/>
      <c r="B27" s="146"/>
      <c r="C27" s="387" t="s">
        <v>144</v>
      </c>
      <c r="D27" s="388"/>
      <c r="E27" s="388"/>
      <c r="F27" s="388"/>
      <c r="G27" s="388"/>
      <c r="H27" s="389"/>
      <c r="I27" s="19"/>
    </row>
    <row r="28" spans="1:9" ht="15.75" thickBot="1" x14ac:dyDescent="0.3">
      <c r="A28" s="131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43"/>
      <c r="B29" s="143">
        <f>A29</f>
        <v>0</v>
      </c>
      <c r="C29" s="78" t="s">
        <v>66</v>
      </c>
      <c r="D29" s="52" t="s">
        <v>90</v>
      </c>
      <c r="E29" s="79">
        <f>IF(E24="","",MOD(E24+1,52))</f>
        <v>51</v>
      </c>
      <c r="F29" s="25"/>
      <c r="G29" s="26" t="s">
        <v>9</v>
      </c>
      <c r="H29" s="27"/>
      <c r="I29" s="19"/>
    </row>
    <row r="30" spans="1:9" x14ac:dyDescent="0.25">
      <c r="A30" s="143"/>
      <c r="B30" s="143">
        <f>A30</f>
        <v>0</v>
      </c>
      <c r="C30" s="28" t="s">
        <v>67</v>
      </c>
      <c r="D30" s="53" t="s">
        <v>47</v>
      </c>
      <c r="E30" s="24">
        <f>IF(E29="","",MOD(E29+1,52))</f>
        <v>0</v>
      </c>
      <c r="F30" s="29"/>
      <c r="G30" s="30"/>
      <c r="H30" s="27"/>
      <c r="I30" s="19"/>
    </row>
    <row r="31" spans="1:9" x14ac:dyDescent="0.25">
      <c r="A31" s="131"/>
      <c r="B31" s="132"/>
      <c r="C31" s="62" t="s">
        <v>16</v>
      </c>
      <c r="D31" s="52" t="str">
        <f>D29</f>
        <v>ELECTRO HECKER</v>
      </c>
      <c r="E31" s="24">
        <f>IF(E30="","",MOD(E30+2,52))</f>
        <v>2</v>
      </c>
      <c r="F31" s="29"/>
      <c r="G31" s="30"/>
      <c r="H31" s="27"/>
      <c r="I31" s="19"/>
    </row>
    <row r="32" spans="1:9" x14ac:dyDescent="0.25">
      <c r="A32" s="143"/>
      <c r="B32" s="143">
        <f>A32</f>
        <v>0</v>
      </c>
      <c r="C32" s="80" t="s">
        <v>17</v>
      </c>
      <c r="D32" s="53" t="s">
        <v>50</v>
      </c>
      <c r="E32" s="24">
        <f>IF(E30="","",MOD(E30+2,52))</f>
        <v>2</v>
      </c>
      <c r="F32" s="29"/>
      <c r="G32" s="30"/>
      <c r="H32" s="27"/>
      <c r="I32" s="19"/>
    </row>
    <row r="33" spans="1:9" x14ac:dyDescent="0.25">
      <c r="A33" s="143"/>
      <c r="B33" s="143"/>
      <c r="C33" s="62" t="s">
        <v>140</v>
      </c>
      <c r="D33" s="52" t="s">
        <v>50</v>
      </c>
      <c r="E33" s="24">
        <f>IF(E32="","",MOD(E32+1,52))</f>
        <v>3</v>
      </c>
      <c r="F33" s="29"/>
      <c r="G33" s="30"/>
      <c r="H33" s="27"/>
      <c r="I33" s="19"/>
    </row>
    <row r="34" spans="1:9" x14ac:dyDescent="0.25">
      <c r="A34" s="143"/>
      <c r="B34" s="143">
        <f>A34</f>
        <v>0</v>
      </c>
      <c r="C34" s="28" t="s">
        <v>141</v>
      </c>
      <c r="D34" s="53" t="s">
        <v>50</v>
      </c>
      <c r="E34" s="24">
        <f>IF(E32="","",MOD(E32+1,52))</f>
        <v>3</v>
      </c>
      <c r="F34" s="29"/>
      <c r="G34" s="30"/>
      <c r="H34" s="27"/>
      <c r="I34" s="19"/>
    </row>
    <row r="35" spans="1:9" x14ac:dyDescent="0.25">
      <c r="A35" s="131"/>
      <c r="B35" s="13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144"/>
      <c r="B36" s="143">
        <f>A36</f>
        <v>0</v>
      </c>
      <c r="C36" s="28" t="s">
        <v>19</v>
      </c>
      <c r="D36" s="53" t="s">
        <v>52</v>
      </c>
      <c r="E36" s="24">
        <f>IF(E34="","",MOD(E34+1,52))</f>
        <v>4</v>
      </c>
      <c r="F36" s="29"/>
      <c r="G36" s="30"/>
      <c r="H36" s="27"/>
      <c r="I36" s="19"/>
    </row>
    <row r="37" spans="1:9" x14ac:dyDescent="0.25">
      <c r="A37" s="131"/>
      <c r="B37" s="132"/>
      <c r="C37" s="28" t="s">
        <v>20</v>
      </c>
      <c r="D37" s="52" t="str">
        <f>D30</f>
        <v>SOARES</v>
      </c>
      <c r="E37" s="24">
        <f>IF(E36="","",MOD(E36+1,52))</f>
        <v>5</v>
      </c>
      <c r="F37" s="29"/>
      <c r="G37" s="30"/>
      <c r="H37" s="27"/>
      <c r="I37" s="19"/>
    </row>
    <row r="38" spans="1:9" x14ac:dyDescent="0.25">
      <c r="A38" s="131"/>
      <c r="B38" s="132"/>
      <c r="C38" s="28" t="s">
        <v>21</v>
      </c>
      <c r="D38" s="53" t="str">
        <f>D29</f>
        <v>ELECTRO HECKER</v>
      </c>
      <c r="E38" s="24">
        <f>IF(E37="","",MOD(E37+1,52))</f>
        <v>6</v>
      </c>
      <c r="F38" s="29"/>
      <c r="G38" s="30" t="s">
        <v>9</v>
      </c>
      <c r="H38" s="27"/>
      <c r="I38" s="19"/>
    </row>
    <row r="39" spans="1:9" x14ac:dyDescent="0.25">
      <c r="A39" s="131"/>
      <c r="B39" s="132"/>
      <c r="C39" s="28" t="s">
        <v>22</v>
      </c>
      <c r="D39" s="52" t="str">
        <f>D32</f>
        <v>HERTFELDER</v>
      </c>
      <c r="E39" s="24">
        <f>IF(E37="","",MOD(E37+1,52))</f>
        <v>6</v>
      </c>
      <c r="F39" s="29"/>
      <c r="G39" s="30"/>
      <c r="H39" s="27"/>
      <c r="I39" s="19"/>
    </row>
    <row r="40" spans="1:9" x14ac:dyDescent="0.25">
      <c r="A40" s="131"/>
      <c r="B40" s="132"/>
      <c r="C40" s="28" t="s">
        <v>23</v>
      </c>
      <c r="D40" s="53" t="s">
        <v>64</v>
      </c>
      <c r="E40" s="24">
        <f>E36+4</f>
        <v>8</v>
      </c>
      <c r="F40" s="29"/>
      <c r="G40" s="30" t="s">
        <v>70</v>
      </c>
      <c r="H40" s="27"/>
      <c r="I40" s="19"/>
    </row>
    <row r="41" spans="1:9" x14ac:dyDescent="0.25">
      <c r="A41" s="131"/>
      <c r="B41" s="132"/>
      <c r="C41" s="28" t="s">
        <v>24</v>
      </c>
      <c r="D41" s="52" t="s">
        <v>64</v>
      </c>
      <c r="E41" s="24">
        <f>E39+1</f>
        <v>7</v>
      </c>
      <c r="F41" s="29"/>
      <c r="G41" s="30" t="s">
        <v>70</v>
      </c>
      <c r="H41" s="27"/>
      <c r="I41" s="19"/>
    </row>
    <row r="42" spans="1:9" x14ac:dyDescent="0.25">
      <c r="A42" s="131"/>
      <c r="B42" s="132"/>
      <c r="C42" s="28" t="s">
        <v>25</v>
      </c>
      <c r="D42" s="53" t="str">
        <f>D34</f>
        <v>HERTFELDER</v>
      </c>
      <c r="E42" s="24">
        <f>IF(E40="","",MOD(E40+2,52))</f>
        <v>10</v>
      </c>
      <c r="F42" s="29"/>
      <c r="G42" s="30"/>
      <c r="H42" s="27"/>
      <c r="I42" s="19"/>
    </row>
    <row r="43" spans="1:9" x14ac:dyDescent="0.25">
      <c r="A43" s="143"/>
      <c r="B43" s="143">
        <f>A43</f>
        <v>0</v>
      </c>
      <c r="C43" s="81" t="s">
        <v>147</v>
      </c>
      <c r="D43" s="52" t="s">
        <v>64</v>
      </c>
      <c r="E43" s="82">
        <f>E44</f>
        <v>10</v>
      </c>
      <c r="F43" s="83"/>
      <c r="G43" s="72" t="s">
        <v>70</v>
      </c>
      <c r="H43" s="27"/>
      <c r="I43" s="19"/>
    </row>
    <row r="44" spans="1:9" x14ac:dyDescent="0.25">
      <c r="A44" s="143"/>
      <c r="B44" s="143">
        <f>A44</f>
        <v>0</v>
      </c>
      <c r="C44" s="81" t="s">
        <v>139</v>
      </c>
      <c r="D44" s="193" t="s">
        <v>54</v>
      </c>
      <c r="E44" s="82">
        <f>IF(E40="","",MOD(E40+2,52))</f>
        <v>10</v>
      </c>
      <c r="F44" s="83"/>
      <c r="G44" s="72"/>
      <c r="H44" s="194"/>
      <c r="I44" s="19"/>
    </row>
    <row r="45" spans="1:9" x14ac:dyDescent="0.25">
      <c r="A45" s="131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145"/>
      <c r="B46" s="146"/>
      <c r="C46" s="387" t="s">
        <v>146</v>
      </c>
      <c r="D46" s="388"/>
      <c r="E46" s="388"/>
      <c r="F46" s="388"/>
      <c r="G46" s="388"/>
      <c r="H46" s="389"/>
      <c r="I46" s="19"/>
    </row>
    <row r="47" spans="1:9" ht="15.75" thickBot="1" x14ac:dyDescent="0.3">
      <c r="A47" s="131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143"/>
      <c r="B48" s="143">
        <f>A48</f>
        <v>0</v>
      </c>
      <c r="C48" s="88" t="s">
        <v>26</v>
      </c>
      <c r="D48" s="52" t="s">
        <v>64</v>
      </c>
      <c r="E48" s="89">
        <f>E32+1</f>
        <v>3</v>
      </c>
      <c r="F48" s="25"/>
      <c r="G48" s="26" t="s">
        <v>70</v>
      </c>
      <c r="H48" s="27"/>
      <c r="I48" s="19"/>
    </row>
    <row r="49" spans="1:9" x14ac:dyDescent="0.25">
      <c r="A49" s="133"/>
      <c r="B49" s="173"/>
      <c r="C49" s="102" t="s">
        <v>69</v>
      </c>
      <c r="D49" s="103" t="s">
        <v>64</v>
      </c>
      <c r="E49" s="104">
        <f>E48</f>
        <v>3</v>
      </c>
      <c r="F49" s="105"/>
      <c r="G49" s="106" t="s">
        <v>70</v>
      </c>
      <c r="H49" s="27"/>
      <c r="I49" s="19"/>
    </row>
    <row r="50" spans="1:9" x14ac:dyDescent="0.25">
      <c r="A50" s="133"/>
      <c r="B50" s="173"/>
      <c r="C50" s="92" t="s">
        <v>61</v>
      </c>
      <c r="D50" s="99" t="s">
        <v>68</v>
      </c>
      <c r="E50" s="101">
        <f>E48+1</f>
        <v>4</v>
      </c>
      <c r="F50" s="95"/>
      <c r="G50" s="96" t="s">
        <v>9</v>
      </c>
      <c r="H50" s="97"/>
      <c r="I50" s="19"/>
    </row>
    <row r="51" spans="1:9" x14ac:dyDescent="0.25">
      <c r="A51" s="341">
        <f>SUM(A12:A50)</f>
        <v>17961.02</v>
      </c>
      <c r="B51" s="173"/>
      <c r="C51" s="91" t="s">
        <v>27</v>
      </c>
      <c r="D51" s="52" t="str">
        <f>D48</f>
        <v>A CHARGE CLIENT</v>
      </c>
      <c r="E51" s="90">
        <f>E48+3</f>
        <v>6</v>
      </c>
      <c r="F51" s="29"/>
      <c r="G51" s="72"/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7" t="s">
        <v>142</v>
      </c>
      <c r="I54" s="19"/>
    </row>
    <row r="55" spans="1:9" x14ac:dyDescent="0.25">
      <c r="A55" s="42"/>
      <c r="B55" s="126"/>
      <c r="C55" s="43" t="s">
        <v>122</v>
      </c>
      <c r="D55" s="107"/>
      <c r="E55" s="44"/>
      <c r="F55" s="45"/>
      <c r="G55" s="18"/>
      <c r="H55" s="398"/>
      <c r="I55" s="19"/>
    </row>
    <row r="56" spans="1:9" x14ac:dyDescent="0.25">
      <c r="A56" s="42"/>
      <c r="B56" s="126"/>
      <c r="C56" s="33" t="s">
        <v>123</v>
      </c>
      <c r="D56" s="49"/>
      <c r="E56" s="46"/>
      <c r="F56" s="2"/>
      <c r="G56" s="18"/>
      <c r="H56" s="399" t="e">
        <f>DATEDIF(E3,D58,"m")&amp;"mois"&amp;DATEDIF(E3,D58,"md")&amp;"jours"</f>
        <v>#NUM!</v>
      </c>
      <c r="I56" s="19"/>
    </row>
    <row r="57" spans="1:9" ht="15.75" thickBot="1" x14ac:dyDescent="0.3">
      <c r="A57" s="42"/>
      <c r="B57" s="126"/>
      <c r="C57" s="33" t="s">
        <v>31</v>
      </c>
      <c r="D57" s="176"/>
      <c r="E57" s="46"/>
      <c r="F57" s="2"/>
      <c r="G57" s="18"/>
      <c r="H57" s="400"/>
      <c r="I57" s="19"/>
    </row>
    <row r="58" spans="1:9" x14ac:dyDescent="0.25">
      <c r="A58" s="42"/>
      <c r="B58" s="126"/>
      <c r="C58" s="47" t="s">
        <v>32</v>
      </c>
      <c r="D58" s="184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1"/>
      <c r="D60" s="371"/>
      <c r="E60" s="371"/>
      <c r="F60" s="371"/>
      <c r="G60" s="371"/>
      <c r="H60" s="371"/>
      <c r="I60" s="372"/>
    </row>
    <row r="61" spans="1:9" x14ac:dyDescent="0.25">
      <c r="A61" s="34"/>
      <c r="B61" s="18"/>
      <c r="C61" s="373"/>
      <c r="D61" s="373"/>
      <c r="E61" s="373"/>
      <c r="F61" s="373"/>
      <c r="G61" s="373"/>
      <c r="H61" s="373"/>
      <c r="I61" s="374"/>
    </row>
    <row r="62" spans="1:9" x14ac:dyDescent="0.25">
      <c r="A62" s="34"/>
      <c r="B62" s="18"/>
      <c r="C62" s="373"/>
      <c r="D62" s="373"/>
      <c r="E62" s="373"/>
      <c r="F62" s="373"/>
      <c r="G62" s="373"/>
      <c r="H62" s="373"/>
      <c r="I62" s="374"/>
    </row>
    <row r="63" spans="1:9" x14ac:dyDescent="0.25">
      <c r="A63" s="34"/>
      <c r="B63" s="18"/>
      <c r="C63" s="373"/>
      <c r="D63" s="373"/>
      <c r="E63" s="373"/>
      <c r="F63" s="373"/>
      <c r="G63" s="373"/>
      <c r="H63" s="373"/>
      <c r="I63" s="374"/>
    </row>
    <row r="64" spans="1:9" x14ac:dyDescent="0.25">
      <c r="A64" s="34"/>
      <c r="B64" s="18"/>
      <c r="C64" s="373"/>
      <c r="D64" s="373"/>
      <c r="E64" s="373"/>
      <c r="F64" s="373"/>
      <c r="G64" s="373"/>
      <c r="H64" s="373"/>
      <c r="I64" s="374"/>
    </row>
    <row r="65" spans="1:9" x14ac:dyDescent="0.25">
      <c r="A65" s="44"/>
      <c r="B65" s="45"/>
      <c r="C65" s="375"/>
      <c r="D65" s="375"/>
      <c r="E65" s="375"/>
      <c r="F65" s="375"/>
      <c r="G65" s="375"/>
      <c r="H65" s="375"/>
      <c r="I65" s="376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H54:H55"/>
    <mergeCell ref="H56:H57"/>
    <mergeCell ref="C60:I65"/>
    <mergeCell ref="E4:F4"/>
    <mergeCell ref="A5:B5"/>
    <mergeCell ref="A6:B6"/>
    <mergeCell ref="C6:H6"/>
    <mergeCell ref="C27:H27"/>
    <mergeCell ref="C46:H46"/>
    <mergeCell ref="A1:G1"/>
    <mergeCell ref="A2:B2"/>
    <mergeCell ref="E2:F2"/>
    <mergeCell ref="H2:I2"/>
    <mergeCell ref="A3:B3"/>
    <mergeCell ref="E3:F3"/>
    <mergeCell ref="H3:I3"/>
  </mergeCells>
  <conditionalFormatting sqref="C52:G52">
    <cfRule type="expression" dxfId="2727" priority="70">
      <formula>$F52="réalisé"</formula>
    </cfRule>
  </conditionalFormatting>
  <conditionalFormatting sqref="C48:C51 E48:H51 E29:H45 C8:H26">
    <cfRule type="expression" dxfId="2726" priority="67">
      <formula>$G8="réalisé"</formula>
    </cfRule>
    <cfRule type="expression" dxfId="2725" priority="68">
      <formula>$G8="en cours"</formula>
    </cfRule>
    <cfRule type="expression" dxfId="2724" priority="69">
      <formula>$G8="non compris"</formula>
    </cfRule>
  </conditionalFormatting>
  <conditionalFormatting sqref="C29:C45">
    <cfRule type="expression" dxfId="2723" priority="64">
      <formula>$G29="réalisé"</formula>
    </cfRule>
    <cfRule type="expression" dxfId="2722" priority="65">
      <formula>$G29="en cours"</formula>
    </cfRule>
    <cfRule type="expression" dxfId="2721" priority="66">
      <formula>$G29="non compris"</formula>
    </cfRule>
  </conditionalFormatting>
  <conditionalFormatting sqref="C55:F58">
    <cfRule type="expression" dxfId="2720" priority="63">
      <formula>$F55="réalisé"</formula>
    </cfRule>
  </conditionalFormatting>
  <conditionalFormatting sqref="G9">
    <cfRule type="expression" dxfId="2719" priority="62">
      <formula>$G$10="réalisé"</formula>
    </cfRule>
  </conditionalFormatting>
  <conditionalFormatting sqref="G10:G14">
    <cfRule type="expression" dxfId="2718" priority="61">
      <formula>$G$15="réalisé"</formula>
    </cfRule>
  </conditionalFormatting>
  <conditionalFormatting sqref="G20:G21">
    <cfRule type="expression" dxfId="2717" priority="60">
      <formula>$G$22="réalisé"</formula>
    </cfRule>
  </conditionalFormatting>
  <conditionalFormatting sqref="G30">
    <cfRule type="expression" dxfId="2716" priority="59">
      <formula>$G$31="réalisé"</formula>
    </cfRule>
  </conditionalFormatting>
  <conditionalFormatting sqref="D29">
    <cfRule type="expression" dxfId="2715" priority="56">
      <formula>$G29="réalisé"</formula>
    </cfRule>
    <cfRule type="expression" dxfId="2714" priority="57">
      <formula>$G29="en cours"</formula>
    </cfRule>
    <cfRule type="expression" dxfId="2713" priority="58">
      <formula>$G29="non compris"</formula>
    </cfRule>
  </conditionalFormatting>
  <conditionalFormatting sqref="D31">
    <cfRule type="expression" dxfId="2712" priority="53">
      <formula>$G31="réalisé"</formula>
    </cfRule>
    <cfRule type="expression" dxfId="2711" priority="54">
      <formula>$G31="en cours"</formula>
    </cfRule>
    <cfRule type="expression" dxfId="2710" priority="55">
      <formula>$G31="non compris"</formula>
    </cfRule>
  </conditionalFormatting>
  <conditionalFormatting sqref="D33">
    <cfRule type="expression" dxfId="2709" priority="50">
      <formula>$G33="réalisé"</formula>
    </cfRule>
    <cfRule type="expression" dxfId="2708" priority="51">
      <formula>$G33="en cours"</formula>
    </cfRule>
    <cfRule type="expression" dxfId="2707" priority="52">
      <formula>$G33="non compris"</formula>
    </cfRule>
  </conditionalFormatting>
  <conditionalFormatting sqref="D35">
    <cfRule type="expression" dxfId="2706" priority="47">
      <formula>$G35="réalisé"</formula>
    </cfRule>
    <cfRule type="expression" dxfId="2705" priority="48">
      <formula>$G35="en cours"</formula>
    </cfRule>
    <cfRule type="expression" dxfId="2704" priority="49">
      <formula>$G35="non compris"</formula>
    </cfRule>
  </conditionalFormatting>
  <conditionalFormatting sqref="D37">
    <cfRule type="expression" dxfId="2703" priority="44">
      <formula>$G37="réalisé"</formula>
    </cfRule>
    <cfRule type="expression" dxfId="2702" priority="45">
      <formula>$G37="en cours"</formula>
    </cfRule>
    <cfRule type="expression" dxfId="2701" priority="46">
      <formula>$G37="non compris"</formula>
    </cfRule>
  </conditionalFormatting>
  <conditionalFormatting sqref="D39">
    <cfRule type="expression" dxfId="2700" priority="41">
      <formula>$G39="réalisé"</formula>
    </cfRule>
    <cfRule type="expression" dxfId="2699" priority="42">
      <formula>$G39="en cours"</formula>
    </cfRule>
    <cfRule type="expression" dxfId="2698" priority="43">
      <formula>$G39="non compris"</formula>
    </cfRule>
  </conditionalFormatting>
  <conditionalFormatting sqref="D41">
    <cfRule type="expression" dxfId="2697" priority="38">
      <formula>$G41="réalisé"</formula>
    </cfRule>
    <cfRule type="expression" dxfId="2696" priority="39">
      <formula>$G41="en cours"</formula>
    </cfRule>
    <cfRule type="expression" dxfId="2695" priority="40">
      <formula>$G41="non compris"</formula>
    </cfRule>
  </conditionalFormatting>
  <conditionalFormatting sqref="D44:D45">
    <cfRule type="expression" dxfId="2694" priority="35">
      <formula>$G44="réalisé"</formula>
    </cfRule>
    <cfRule type="expression" dxfId="2693" priority="36">
      <formula>$G44="en cours"</formula>
    </cfRule>
    <cfRule type="expression" dxfId="2692" priority="37">
      <formula>$G44="non compris"</formula>
    </cfRule>
  </conditionalFormatting>
  <conditionalFormatting sqref="D30">
    <cfRule type="expression" dxfId="2691" priority="32">
      <formula>$G30="réalisé"</formula>
    </cfRule>
    <cfRule type="expression" dxfId="2690" priority="33">
      <formula>$G30="en cours"</formula>
    </cfRule>
    <cfRule type="expression" dxfId="2689" priority="34">
      <formula>$G30="non compris"</formula>
    </cfRule>
  </conditionalFormatting>
  <conditionalFormatting sqref="D32">
    <cfRule type="expression" dxfId="2688" priority="29">
      <formula>$G32="réalisé"</formula>
    </cfRule>
    <cfRule type="expression" dxfId="2687" priority="30">
      <formula>$G32="en cours"</formula>
    </cfRule>
    <cfRule type="expression" dxfId="2686" priority="31">
      <formula>$G32="non compris"</formula>
    </cfRule>
  </conditionalFormatting>
  <conditionalFormatting sqref="D34">
    <cfRule type="expression" dxfId="2685" priority="26">
      <formula>$G34="réalisé"</formula>
    </cfRule>
    <cfRule type="expression" dxfId="2684" priority="27">
      <formula>$G34="en cours"</formula>
    </cfRule>
    <cfRule type="expression" dxfId="2683" priority="28">
      <formula>$G34="non compris"</formula>
    </cfRule>
  </conditionalFormatting>
  <conditionalFormatting sqref="D36">
    <cfRule type="expression" dxfId="2682" priority="23">
      <formula>$G36="réalisé"</formula>
    </cfRule>
    <cfRule type="expression" dxfId="2681" priority="24">
      <formula>$G36="en cours"</formula>
    </cfRule>
    <cfRule type="expression" dxfId="2680" priority="25">
      <formula>$G36="non compris"</formula>
    </cfRule>
  </conditionalFormatting>
  <conditionalFormatting sqref="D38">
    <cfRule type="expression" dxfId="2679" priority="20">
      <formula>$G38="réalisé"</formula>
    </cfRule>
    <cfRule type="expression" dxfId="2678" priority="21">
      <formula>$G38="en cours"</formula>
    </cfRule>
    <cfRule type="expression" dxfId="2677" priority="22">
      <formula>$G38="non compris"</formula>
    </cfRule>
  </conditionalFormatting>
  <conditionalFormatting sqref="D40">
    <cfRule type="expression" dxfId="2676" priority="17">
      <formula>$G40="réalisé"</formula>
    </cfRule>
    <cfRule type="expression" dxfId="2675" priority="18">
      <formula>$G40="en cours"</formula>
    </cfRule>
    <cfRule type="expression" dxfId="2674" priority="19">
      <formula>$G40="non compris"</formula>
    </cfRule>
  </conditionalFormatting>
  <conditionalFormatting sqref="D42:D43">
    <cfRule type="expression" dxfId="2673" priority="14">
      <formula>$G42="réalisé"</formula>
    </cfRule>
    <cfRule type="expression" dxfId="2672" priority="15">
      <formula>$G42="en cours"</formula>
    </cfRule>
    <cfRule type="expression" dxfId="2671" priority="16">
      <formula>$G42="non compris"</formula>
    </cfRule>
  </conditionalFormatting>
  <conditionalFormatting sqref="D50">
    <cfRule type="expression" dxfId="2670" priority="11">
      <formula>$G50="réalisé"</formula>
    </cfRule>
    <cfRule type="expression" dxfId="2669" priority="12">
      <formula>$G50="en cours"</formula>
    </cfRule>
    <cfRule type="expression" dxfId="2668" priority="13">
      <formula>$G50="non compris"</formula>
    </cfRule>
  </conditionalFormatting>
  <conditionalFormatting sqref="D49">
    <cfRule type="expression" dxfId="2667" priority="8">
      <formula>$G49="réalisé"</formula>
    </cfRule>
    <cfRule type="expression" dxfId="2666" priority="9">
      <formula>$G49="en cours"</formula>
    </cfRule>
    <cfRule type="expression" dxfId="2665" priority="10">
      <formula>$G49="non compris"</formula>
    </cfRule>
  </conditionalFormatting>
  <conditionalFormatting sqref="D48">
    <cfRule type="expression" dxfId="2664" priority="5">
      <formula>$G48="réalisé"</formula>
    </cfRule>
    <cfRule type="expression" dxfId="2663" priority="6">
      <formula>$G48="en cours"</formula>
    </cfRule>
    <cfRule type="expression" dxfId="2662" priority="7">
      <formula>$G48="non compris"</formula>
    </cfRule>
  </conditionalFormatting>
  <conditionalFormatting sqref="D51">
    <cfRule type="expression" dxfId="2661" priority="2">
      <formula>$G51="réalisé"</formula>
    </cfRule>
    <cfRule type="expression" dxfId="2660" priority="3">
      <formula>$G51="en cours"</formula>
    </cfRule>
    <cfRule type="expression" dxfId="2659" priority="4">
      <formula>$G51="non compris"</formula>
    </cfRule>
  </conditionalFormatting>
  <conditionalFormatting sqref="D8:D26">
    <cfRule type="expression" dxfId="2658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8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00B050"/>
    <pageSetUpPr fitToPage="1"/>
  </sheetPr>
  <dimension ref="A1:I74"/>
  <sheetViews>
    <sheetView zoomScaleNormal="100" workbookViewId="0">
      <selection activeCell="G31" sqref="G31"/>
    </sheetView>
  </sheetViews>
  <sheetFormatPr baseColWidth="10" defaultRowHeight="15" x14ac:dyDescent="0.25"/>
  <cols>
    <col min="1" max="1" width="13" customWidth="1"/>
    <col min="2" max="2" width="13.28515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7" t="s">
        <v>0</v>
      </c>
      <c r="B1" s="378"/>
      <c r="C1" s="378"/>
      <c r="D1" s="378"/>
      <c r="E1" s="378"/>
      <c r="F1" s="378"/>
      <c r="G1" s="378"/>
      <c r="H1" s="1" t="s">
        <v>1</v>
      </c>
      <c r="I1" s="3">
        <f ca="1">INT(MOD(INT((LISTE!D1-2)/7)+0.6,52+5/28))+1</f>
        <v>41</v>
      </c>
    </row>
    <row r="2" spans="1:9" x14ac:dyDescent="0.25">
      <c r="A2" s="390" t="s">
        <v>2</v>
      </c>
      <c r="B2" s="391"/>
      <c r="C2" s="70" t="str">
        <f ca="1">MID(CELL("nomfichier",A1),FIND("]",CELL("nomfichier",A1),1)+1,30)</f>
        <v>GAEHLER</v>
      </c>
      <c r="D2" s="4" t="s">
        <v>72</v>
      </c>
      <c r="E2" s="379">
        <v>43151</v>
      </c>
      <c r="F2" s="379"/>
      <c r="G2" s="5"/>
      <c r="H2" s="380" t="s">
        <v>143</v>
      </c>
      <c r="I2" s="381"/>
    </row>
    <row r="3" spans="1:9" ht="15.75" x14ac:dyDescent="0.25">
      <c r="A3" s="392" t="s">
        <v>106</v>
      </c>
      <c r="B3" s="384"/>
      <c r="C3" s="6" t="s">
        <v>116</v>
      </c>
      <c r="D3" s="7" t="s">
        <v>3</v>
      </c>
      <c r="E3" s="382"/>
      <c r="F3" s="383"/>
      <c r="G3" s="8"/>
      <c r="H3" s="384" t="str">
        <f ca="1">DATEDIF(E3,TODAY(),"m")&amp;"mois"&amp;-DATEDIF(E3,TODAY(),"md")&amp;"jours"</f>
        <v>1425mois-12jours</v>
      </c>
      <c r="I3" s="385"/>
    </row>
    <row r="4" spans="1:9" ht="18.75" x14ac:dyDescent="0.25">
      <c r="A4" s="69" t="s">
        <v>117</v>
      </c>
      <c r="B4" s="129"/>
      <c r="C4" s="9" t="s">
        <v>119</v>
      </c>
      <c r="D4" s="10" t="s">
        <v>4</v>
      </c>
      <c r="E4" s="386">
        <f>E3+60</f>
        <v>60</v>
      </c>
      <c r="F4" s="386"/>
      <c r="G4" s="11"/>
      <c r="H4" s="12"/>
      <c r="I4" s="13"/>
    </row>
    <row r="5" spans="1:9" x14ac:dyDescent="0.25">
      <c r="A5" s="393" t="s">
        <v>76</v>
      </c>
      <c r="B5" s="394"/>
      <c r="C5" s="15"/>
      <c r="D5" s="16"/>
      <c r="E5" s="15"/>
      <c r="F5" s="15"/>
      <c r="G5" s="17"/>
      <c r="H5" s="18"/>
      <c r="I5" s="19"/>
    </row>
    <row r="6" spans="1:9" ht="18.75" x14ac:dyDescent="0.3">
      <c r="A6" s="395" t="s">
        <v>75</v>
      </c>
      <c r="B6" s="396"/>
      <c r="C6" s="387" t="s">
        <v>145</v>
      </c>
      <c r="D6" s="388"/>
      <c r="E6" s="388"/>
      <c r="F6" s="388"/>
      <c r="G6" s="388"/>
      <c r="H6" s="389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303"/>
      <c r="B8" s="200"/>
      <c r="C8" s="28" t="s">
        <v>124</v>
      </c>
      <c r="D8" s="52" t="s">
        <v>38</v>
      </c>
      <c r="E8" s="180">
        <v>40</v>
      </c>
      <c r="F8" s="25"/>
      <c r="G8" s="26" t="s">
        <v>9</v>
      </c>
      <c r="H8" s="27" t="s">
        <v>217</v>
      </c>
      <c r="I8" s="19"/>
    </row>
    <row r="9" spans="1:9" x14ac:dyDescent="0.25">
      <c r="A9" s="303"/>
      <c r="B9" s="130"/>
      <c r="C9" s="28" t="s">
        <v>131</v>
      </c>
      <c r="D9" s="53" t="str">
        <f>D8</f>
        <v>TEMA</v>
      </c>
      <c r="E9" s="181">
        <f>E8+1</f>
        <v>41</v>
      </c>
      <c r="F9" s="29"/>
      <c r="G9" s="30" t="s">
        <v>9</v>
      </c>
      <c r="H9" s="269"/>
      <c r="I9" s="19"/>
    </row>
    <row r="10" spans="1:9" ht="15" customHeight="1" x14ac:dyDescent="0.25">
      <c r="A10" s="304"/>
      <c r="B10" s="182"/>
      <c r="C10" s="28" t="s">
        <v>132</v>
      </c>
      <c r="D10" s="52" t="str">
        <f>D9</f>
        <v>TEMA</v>
      </c>
      <c r="E10" s="180">
        <f>E9</f>
        <v>41</v>
      </c>
      <c r="F10" s="31"/>
      <c r="G10" s="30" t="s">
        <v>9</v>
      </c>
      <c r="H10" s="270"/>
      <c r="I10" s="19"/>
    </row>
    <row r="11" spans="1:9" ht="15" customHeight="1" x14ac:dyDescent="0.25">
      <c r="A11" s="304"/>
      <c r="B11" s="132"/>
      <c r="C11" s="28" t="s">
        <v>133</v>
      </c>
      <c r="D11" s="54" t="str">
        <f>D8</f>
        <v>TEMA</v>
      </c>
      <c r="E11" s="180">
        <f>E10+1</f>
        <v>42</v>
      </c>
      <c r="F11" s="31"/>
      <c r="G11" s="30" t="s">
        <v>9</v>
      </c>
      <c r="H11" s="27"/>
      <c r="I11" s="19"/>
    </row>
    <row r="12" spans="1:9" ht="15" customHeight="1" x14ac:dyDescent="0.25">
      <c r="A12" s="305">
        <v>19278.2</v>
      </c>
      <c r="B12" s="143">
        <f>A12</f>
        <v>19278.2</v>
      </c>
      <c r="C12" s="28" t="s">
        <v>134</v>
      </c>
      <c r="D12" s="54" t="str">
        <f t="shared" ref="D12:D14" si="0">D9</f>
        <v>TEMA</v>
      </c>
      <c r="E12" s="180">
        <f>E11+2</f>
        <v>44</v>
      </c>
      <c r="F12" s="31"/>
      <c r="G12" s="30" t="s">
        <v>9</v>
      </c>
      <c r="H12" s="27"/>
      <c r="I12" s="19"/>
    </row>
    <row r="13" spans="1:9" ht="15" customHeight="1" x14ac:dyDescent="0.25">
      <c r="A13" s="304"/>
      <c r="B13" s="132"/>
      <c r="C13" s="28" t="s">
        <v>191</v>
      </c>
      <c r="D13" s="54" t="str">
        <f t="shared" si="0"/>
        <v>TEMA</v>
      </c>
      <c r="E13" s="180">
        <f>E12+1</f>
        <v>45</v>
      </c>
      <c r="F13" s="31"/>
      <c r="G13" s="30" t="s">
        <v>9</v>
      </c>
      <c r="H13" s="27"/>
      <c r="I13" s="19"/>
    </row>
    <row r="14" spans="1:9" ht="15" customHeight="1" x14ac:dyDescent="0.25">
      <c r="A14" s="304"/>
      <c r="B14" s="132"/>
      <c r="C14" s="28" t="s">
        <v>193</v>
      </c>
      <c r="D14" s="54" t="str">
        <f t="shared" si="0"/>
        <v>TEMA</v>
      </c>
      <c r="E14" s="180">
        <f>E13</f>
        <v>45</v>
      </c>
      <c r="F14" s="31"/>
      <c r="G14" s="30" t="s">
        <v>9</v>
      </c>
      <c r="H14" s="27"/>
      <c r="I14" s="19"/>
    </row>
    <row r="15" spans="1:9" x14ac:dyDescent="0.25">
      <c r="A15" s="304"/>
      <c r="B15" s="132"/>
      <c r="C15" s="28" t="s">
        <v>62</v>
      </c>
      <c r="D15" s="53" t="s">
        <v>64</v>
      </c>
      <c r="E15" s="24">
        <f>E10+4</f>
        <v>45</v>
      </c>
      <c r="F15" s="29"/>
      <c r="G15" s="30" t="s">
        <v>70</v>
      </c>
      <c r="H15" s="27"/>
      <c r="I15" s="19"/>
    </row>
    <row r="16" spans="1:9" x14ac:dyDescent="0.25">
      <c r="A16" s="304"/>
      <c r="B16" s="132"/>
      <c r="C16" s="28" t="s">
        <v>10</v>
      </c>
      <c r="D16" s="52" t="s">
        <v>64</v>
      </c>
      <c r="E16" s="24">
        <f>E10+1</f>
        <v>42</v>
      </c>
      <c r="F16" s="29"/>
      <c r="G16" s="30" t="s">
        <v>70</v>
      </c>
      <c r="H16" s="27"/>
      <c r="I16" s="19"/>
    </row>
    <row r="17" spans="1:9" x14ac:dyDescent="0.25">
      <c r="A17" s="304"/>
      <c r="B17" s="132"/>
      <c r="C17" s="28" t="s">
        <v>11</v>
      </c>
      <c r="D17" s="53" t="s">
        <v>65</v>
      </c>
      <c r="E17" s="24">
        <f>E16+1</f>
        <v>43</v>
      </c>
      <c r="F17" s="29"/>
      <c r="G17" s="30" t="s">
        <v>9</v>
      </c>
      <c r="H17" s="27"/>
      <c r="I17" s="19"/>
    </row>
    <row r="18" spans="1:9" x14ac:dyDescent="0.25">
      <c r="A18" s="291"/>
      <c r="B18" s="143">
        <f>A18</f>
        <v>0</v>
      </c>
      <c r="C18" s="28" t="s">
        <v>12</v>
      </c>
      <c r="D18" s="52" t="s">
        <v>68</v>
      </c>
      <c r="E18" s="180">
        <f>IF(E13="","",MOD(E17+1,52))</f>
        <v>44</v>
      </c>
      <c r="F18" s="29"/>
      <c r="G18" s="30" t="s">
        <v>70</v>
      </c>
      <c r="H18" s="27"/>
      <c r="I18" s="19"/>
    </row>
    <row r="19" spans="1:9" x14ac:dyDescent="0.25">
      <c r="A19" s="304"/>
      <c r="B19" s="132"/>
      <c r="C19" s="28" t="s">
        <v>192</v>
      </c>
      <c r="D19" s="53" t="str">
        <f>D10</f>
        <v>TEMA</v>
      </c>
      <c r="E19" s="24">
        <f>IF(E18="","",MOD(E18+1,52))</f>
        <v>45</v>
      </c>
      <c r="F19" s="29"/>
      <c r="G19" s="30" t="s">
        <v>9</v>
      </c>
      <c r="H19" s="27"/>
      <c r="I19" s="19"/>
    </row>
    <row r="20" spans="1:9" x14ac:dyDescent="0.25">
      <c r="A20" s="306"/>
      <c r="B20" s="143">
        <f>A20</f>
        <v>0</v>
      </c>
      <c r="C20" s="28" t="s">
        <v>59</v>
      </c>
      <c r="D20" s="52" t="s">
        <v>68</v>
      </c>
      <c r="E20" s="24">
        <f>IF(E19="","",MOD(E19+1,52))</f>
        <v>46</v>
      </c>
      <c r="F20" s="29"/>
      <c r="G20" s="30" t="s">
        <v>70</v>
      </c>
      <c r="H20" s="27"/>
      <c r="I20" s="19"/>
    </row>
    <row r="21" spans="1:9" x14ac:dyDescent="0.25">
      <c r="A21" s="301">
        <v>3600</v>
      </c>
      <c r="B21" s="143">
        <f>A21</f>
        <v>3600</v>
      </c>
      <c r="C21" s="28" t="s">
        <v>60</v>
      </c>
      <c r="D21" s="54" t="s">
        <v>43</v>
      </c>
      <c r="E21" s="24">
        <f>E20</f>
        <v>46</v>
      </c>
      <c r="F21" s="29"/>
      <c r="G21" s="30" t="s">
        <v>9</v>
      </c>
      <c r="H21" s="50"/>
      <c r="I21" s="19"/>
    </row>
    <row r="22" spans="1:9" x14ac:dyDescent="0.25">
      <c r="A22" s="307"/>
      <c r="B22" s="132"/>
      <c r="C22" s="167" t="s">
        <v>13</v>
      </c>
      <c r="D22" s="168" t="s">
        <v>43</v>
      </c>
      <c r="E22" s="169">
        <f>E20</f>
        <v>46</v>
      </c>
      <c r="F22" s="170"/>
      <c r="G22" s="171" t="s">
        <v>9</v>
      </c>
      <c r="H22" s="172"/>
      <c r="I22" s="19"/>
    </row>
    <row r="23" spans="1:9" x14ac:dyDescent="0.25">
      <c r="A23" s="305">
        <v>2614.79</v>
      </c>
      <c r="B23" s="291">
        <f>A23-2614.79</f>
        <v>0</v>
      </c>
      <c r="C23" s="32" t="s">
        <v>138</v>
      </c>
      <c r="D23" s="52" t="s">
        <v>45</v>
      </c>
      <c r="E23" s="24">
        <f>IF(E20="","",MOD(E20+2,52))</f>
        <v>48</v>
      </c>
      <c r="F23" s="29"/>
      <c r="G23" s="30" t="s">
        <v>9</v>
      </c>
      <c r="H23" s="27"/>
      <c r="I23" s="19"/>
    </row>
    <row r="24" spans="1:9" x14ac:dyDescent="0.25">
      <c r="A24" s="304"/>
      <c r="B24" s="132"/>
      <c r="C24" s="28" t="s">
        <v>14</v>
      </c>
      <c r="D24" s="53" t="s">
        <v>38</v>
      </c>
      <c r="E24" s="24">
        <f>IF(E20="","",MOD(E20+2,52))</f>
        <v>48</v>
      </c>
      <c r="F24" s="29"/>
      <c r="G24" s="30" t="s">
        <v>9</v>
      </c>
      <c r="H24" s="27"/>
      <c r="I24" s="19"/>
    </row>
    <row r="25" spans="1:9" x14ac:dyDescent="0.25">
      <c r="A25" s="305"/>
      <c r="B25" s="143">
        <f>A25</f>
        <v>0</v>
      </c>
      <c r="C25" s="183" t="s">
        <v>137</v>
      </c>
      <c r="D25" s="53" t="s">
        <v>55</v>
      </c>
      <c r="E25" s="24">
        <f>E23</f>
        <v>48</v>
      </c>
      <c r="F25" s="29"/>
      <c r="G25" s="72" t="s">
        <v>9</v>
      </c>
      <c r="H25" s="27"/>
      <c r="I25" s="19"/>
    </row>
    <row r="26" spans="1:9" x14ac:dyDescent="0.25">
      <c r="A26" s="304"/>
      <c r="B26" s="132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308"/>
      <c r="B27" s="146"/>
      <c r="C27" s="387" t="s">
        <v>144</v>
      </c>
      <c r="D27" s="388"/>
      <c r="E27" s="388"/>
      <c r="F27" s="388"/>
      <c r="G27" s="388"/>
      <c r="H27" s="389"/>
      <c r="I27" s="19"/>
    </row>
    <row r="28" spans="1:9" ht="15.75" thickBot="1" x14ac:dyDescent="0.3">
      <c r="A28" s="304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305">
        <v>1265.29</v>
      </c>
      <c r="B29" s="143">
        <f>A29</f>
        <v>1265.29</v>
      </c>
      <c r="C29" s="78" t="s">
        <v>66</v>
      </c>
      <c r="D29" s="52" t="s">
        <v>90</v>
      </c>
      <c r="E29" s="79">
        <f>IF(E24="","",MOD(E24+1,52))</f>
        <v>49</v>
      </c>
      <c r="F29" s="25"/>
      <c r="G29" s="26" t="s">
        <v>9</v>
      </c>
      <c r="H29" s="27"/>
      <c r="I29" s="19"/>
    </row>
    <row r="30" spans="1:9" x14ac:dyDescent="0.25">
      <c r="A30" s="305">
        <v>2930.03</v>
      </c>
      <c r="B30" s="143">
        <f>A30</f>
        <v>2930.03</v>
      </c>
      <c r="C30" s="28" t="s">
        <v>67</v>
      </c>
      <c r="D30" s="53" t="s">
        <v>47</v>
      </c>
      <c r="E30" s="24">
        <f>IF(E29="","",MOD(E29+1,52))</f>
        <v>50</v>
      </c>
      <c r="F30" s="29"/>
      <c r="G30" s="30"/>
      <c r="H30" s="27"/>
      <c r="I30" s="19"/>
    </row>
    <row r="31" spans="1:9" x14ac:dyDescent="0.25">
      <c r="A31" s="304"/>
      <c r="B31" s="132"/>
      <c r="C31" s="62" t="s">
        <v>16</v>
      </c>
      <c r="D31" s="52" t="str">
        <f>D29</f>
        <v>ELECTRO HECKER</v>
      </c>
      <c r="E31" s="24">
        <f>IF(E30="","",MOD(E30+2,52))</f>
        <v>0</v>
      </c>
      <c r="F31" s="29"/>
      <c r="G31" s="30"/>
      <c r="H31" s="27"/>
      <c r="I31" s="19"/>
    </row>
    <row r="32" spans="1:9" x14ac:dyDescent="0.25">
      <c r="A32" s="291"/>
      <c r="B32" s="143">
        <f>A32</f>
        <v>0</v>
      </c>
      <c r="C32" s="80" t="s">
        <v>17</v>
      </c>
      <c r="D32" s="53" t="s">
        <v>64</v>
      </c>
      <c r="E32" s="24">
        <f>IF(E30="","",MOD(E30+2,52))</f>
        <v>0</v>
      </c>
      <c r="F32" s="29"/>
      <c r="G32" s="30"/>
      <c r="H32" s="27"/>
      <c r="I32" s="19"/>
    </row>
    <row r="33" spans="1:9" x14ac:dyDescent="0.25">
      <c r="A33" s="291"/>
      <c r="B33" s="143"/>
      <c r="C33" s="62" t="s">
        <v>140</v>
      </c>
      <c r="D33" s="52" t="s">
        <v>64</v>
      </c>
      <c r="E33" s="24">
        <f>IF(E32="","",MOD(E32+1,52))</f>
        <v>1</v>
      </c>
      <c r="F33" s="29"/>
      <c r="G33" s="30"/>
      <c r="H33" s="27"/>
      <c r="I33" s="19"/>
    </row>
    <row r="34" spans="1:9" x14ac:dyDescent="0.25">
      <c r="A34" s="291"/>
      <c r="B34" s="143">
        <f>A34</f>
        <v>0</v>
      </c>
      <c r="C34" s="28" t="s">
        <v>141</v>
      </c>
      <c r="D34" s="53" t="s">
        <v>64</v>
      </c>
      <c r="E34" s="24">
        <f>IF(E32="","",MOD(E32+1,52))</f>
        <v>1</v>
      </c>
      <c r="F34" s="29"/>
      <c r="G34" s="30"/>
      <c r="H34" s="27"/>
      <c r="I34" s="19"/>
    </row>
    <row r="35" spans="1:9" x14ac:dyDescent="0.25">
      <c r="A35" s="304"/>
      <c r="B35" s="13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305">
        <v>402.23</v>
      </c>
      <c r="B36" s="143">
        <f>A36</f>
        <v>402.23</v>
      </c>
      <c r="C36" s="28" t="s">
        <v>19</v>
      </c>
      <c r="D36" s="168" t="s">
        <v>53</v>
      </c>
      <c r="E36" s="24">
        <f>IF(E34="","",MOD(E34+1,52))</f>
        <v>2</v>
      </c>
      <c r="F36" s="29"/>
      <c r="G36" s="30"/>
      <c r="H36" s="27"/>
      <c r="I36" s="19"/>
    </row>
    <row r="37" spans="1:9" x14ac:dyDescent="0.25">
      <c r="A37" s="304"/>
      <c r="B37" s="132"/>
      <c r="C37" s="28" t="s">
        <v>20</v>
      </c>
      <c r="D37" s="52" t="str">
        <f>D30</f>
        <v>SOARES</v>
      </c>
      <c r="E37" s="24">
        <f>IF(E36="","",MOD(E36+1,52))</f>
        <v>3</v>
      </c>
      <c r="F37" s="29"/>
      <c r="G37" s="30"/>
      <c r="H37" s="27"/>
      <c r="I37" s="19"/>
    </row>
    <row r="38" spans="1:9" x14ac:dyDescent="0.25">
      <c r="A38" s="304"/>
      <c r="B38" s="132"/>
      <c r="C38" s="28" t="s">
        <v>21</v>
      </c>
      <c r="D38" s="53" t="str">
        <f>D29</f>
        <v>ELECTRO HECKER</v>
      </c>
      <c r="E38" s="24">
        <f>IF(E37="","",MOD(E37+1,52))</f>
        <v>4</v>
      </c>
      <c r="F38" s="29"/>
      <c r="G38" s="30" t="s">
        <v>9</v>
      </c>
      <c r="H38" s="27"/>
      <c r="I38" s="19"/>
    </row>
    <row r="39" spans="1:9" x14ac:dyDescent="0.25">
      <c r="A39" s="304"/>
      <c r="B39" s="132"/>
      <c r="C39" s="28" t="s">
        <v>22</v>
      </c>
      <c r="D39" s="52" t="str">
        <f>D32</f>
        <v>A CHARGE CLIENT</v>
      </c>
      <c r="E39" s="24">
        <f>IF(E37="","",MOD(E37+1,52))</f>
        <v>4</v>
      </c>
      <c r="F39" s="29"/>
      <c r="G39" s="30"/>
      <c r="H39" s="27"/>
      <c r="I39" s="19"/>
    </row>
    <row r="40" spans="1:9" x14ac:dyDescent="0.25">
      <c r="A40" s="307"/>
      <c r="B40" s="132"/>
      <c r="C40" s="28" t="s">
        <v>23</v>
      </c>
      <c r="D40" s="53" t="s">
        <v>53</v>
      </c>
      <c r="E40" s="24">
        <f>E36+4</f>
        <v>6</v>
      </c>
      <c r="F40" s="29"/>
      <c r="G40" s="30" t="s">
        <v>9</v>
      </c>
      <c r="H40" s="27"/>
      <c r="I40" s="19"/>
    </row>
    <row r="41" spans="1:9" x14ac:dyDescent="0.25">
      <c r="A41" s="304"/>
      <c r="B41" s="132"/>
      <c r="C41" s="28" t="s">
        <v>24</v>
      </c>
      <c r="D41" s="52" t="s">
        <v>64</v>
      </c>
      <c r="E41" s="24">
        <f>E39+1</f>
        <v>5</v>
      </c>
      <c r="F41" s="29"/>
      <c r="G41" s="30" t="s">
        <v>70</v>
      </c>
      <c r="H41" s="27"/>
      <c r="I41" s="19"/>
    </row>
    <row r="42" spans="1:9" x14ac:dyDescent="0.25">
      <c r="A42" s="304"/>
      <c r="B42" s="132"/>
      <c r="C42" s="28" t="s">
        <v>25</v>
      </c>
      <c r="D42" s="53" t="str">
        <f>D34</f>
        <v>A CHARGE CLIENT</v>
      </c>
      <c r="E42" s="24">
        <f>IF(E40="","",MOD(E40+2,52))</f>
        <v>8</v>
      </c>
      <c r="F42" s="29"/>
      <c r="G42" s="30"/>
      <c r="H42" s="27"/>
      <c r="I42" s="19"/>
    </row>
    <row r="43" spans="1:9" x14ac:dyDescent="0.25">
      <c r="A43" s="291">
        <v>302.08</v>
      </c>
      <c r="B43" s="143">
        <f>A43</f>
        <v>302.08</v>
      </c>
      <c r="C43" s="81" t="s">
        <v>194</v>
      </c>
      <c r="D43" s="265" t="s">
        <v>53</v>
      </c>
      <c r="E43" s="82">
        <f>E44</f>
        <v>8</v>
      </c>
      <c r="F43" s="83"/>
      <c r="G43" s="72"/>
      <c r="H43" s="27"/>
      <c r="I43" s="19"/>
    </row>
    <row r="44" spans="1:9" x14ac:dyDescent="0.25">
      <c r="A44" s="305"/>
      <c r="B44" s="143">
        <f>A44</f>
        <v>0</v>
      </c>
      <c r="C44" s="81" t="s">
        <v>139</v>
      </c>
      <c r="D44" s="193" t="s">
        <v>54</v>
      </c>
      <c r="E44" s="82">
        <f>IF(E40="","",MOD(E40+2,52))</f>
        <v>8</v>
      </c>
      <c r="F44" s="83"/>
      <c r="G44" s="72"/>
      <c r="H44" s="194"/>
      <c r="I44" s="19"/>
    </row>
    <row r="45" spans="1:9" x14ac:dyDescent="0.25">
      <c r="A45" s="304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308"/>
      <c r="B46" s="146"/>
      <c r="C46" s="387" t="s">
        <v>146</v>
      </c>
      <c r="D46" s="388"/>
      <c r="E46" s="388"/>
      <c r="F46" s="388"/>
      <c r="G46" s="388"/>
      <c r="H46" s="389"/>
      <c r="I46" s="19"/>
    </row>
    <row r="47" spans="1:9" ht="15.75" thickBot="1" x14ac:dyDescent="0.3">
      <c r="A47" s="304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305"/>
      <c r="B48" s="143">
        <f>A48</f>
        <v>0</v>
      </c>
      <c r="C48" s="88" t="s">
        <v>26</v>
      </c>
      <c r="D48" s="52" t="s">
        <v>57</v>
      </c>
      <c r="E48" s="89">
        <f>E32+1</f>
        <v>1</v>
      </c>
      <c r="F48" s="25"/>
      <c r="G48" s="26"/>
      <c r="H48" s="27"/>
      <c r="I48" s="19"/>
    </row>
    <row r="49" spans="1:9" x14ac:dyDescent="0.25">
      <c r="A49" s="309"/>
      <c r="B49" s="173"/>
      <c r="C49" s="102" t="s">
        <v>69</v>
      </c>
      <c r="D49" s="103" t="s">
        <v>64</v>
      </c>
      <c r="E49" s="104">
        <f>E48</f>
        <v>1</v>
      </c>
      <c r="F49" s="105"/>
      <c r="G49" s="106" t="s">
        <v>70</v>
      </c>
      <c r="H49" s="27"/>
      <c r="I49" s="19"/>
    </row>
    <row r="50" spans="1:9" x14ac:dyDescent="0.25">
      <c r="A50" s="309"/>
      <c r="B50" s="173"/>
      <c r="C50" s="92" t="s">
        <v>61</v>
      </c>
      <c r="D50" s="99" t="s">
        <v>68</v>
      </c>
      <c r="E50" s="101">
        <f>E48+1</f>
        <v>2</v>
      </c>
      <c r="F50" s="95"/>
      <c r="G50" s="96" t="s">
        <v>9</v>
      </c>
      <c r="H50" s="97"/>
      <c r="I50" s="19"/>
    </row>
    <row r="51" spans="1:9" x14ac:dyDescent="0.25">
      <c r="A51" s="309">
        <f>SUM(A12:A50)</f>
        <v>30392.620000000003</v>
      </c>
      <c r="B51" s="309">
        <f>SUM(B12:B50)</f>
        <v>27777.83</v>
      </c>
      <c r="C51" s="91" t="s">
        <v>27</v>
      </c>
      <c r="D51" s="52" t="s">
        <v>64</v>
      </c>
      <c r="E51" s="90">
        <f>E48+3</f>
        <v>4</v>
      </c>
      <c r="F51" s="29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7" t="s">
        <v>142</v>
      </c>
      <c r="I54" s="19"/>
    </row>
    <row r="55" spans="1:9" x14ac:dyDescent="0.25">
      <c r="A55" s="42"/>
      <c r="B55" s="126"/>
      <c r="C55" s="43" t="s">
        <v>122</v>
      </c>
      <c r="D55" s="107">
        <v>43150</v>
      </c>
      <c r="E55" s="44"/>
      <c r="F55" s="45" t="s">
        <v>109</v>
      </c>
      <c r="G55" s="18"/>
      <c r="H55" s="398"/>
      <c r="I55" s="19"/>
    </row>
    <row r="56" spans="1:9" x14ac:dyDescent="0.25">
      <c r="A56" s="42"/>
      <c r="B56" s="126"/>
      <c r="C56" s="33" t="s">
        <v>123</v>
      </c>
      <c r="D56" s="49">
        <v>43209</v>
      </c>
      <c r="E56" s="46"/>
      <c r="F56" s="2" t="s">
        <v>109</v>
      </c>
      <c r="G56" s="18"/>
      <c r="H56" s="399" t="str">
        <f>DATEDIF(E3,D58,"m")&amp;"mois"&amp;DATEDIF(E3,D58,"md")&amp;"jours"</f>
        <v>0mois0jours</v>
      </c>
      <c r="I56" s="19"/>
    </row>
    <row r="57" spans="1:9" ht="15.75" thickBot="1" x14ac:dyDescent="0.3">
      <c r="A57" s="42"/>
      <c r="B57" s="126"/>
      <c r="C57" s="33" t="s">
        <v>31</v>
      </c>
      <c r="D57" s="176"/>
      <c r="E57" s="46"/>
      <c r="F57" s="2"/>
      <c r="G57" s="18"/>
      <c r="H57" s="400"/>
      <c r="I57" s="19"/>
    </row>
    <row r="58" spans="1:9" x14ac:dyDescent="0.25">
      <c r="A58" s="42"/>
      <c r="B58" s="126"/>
      <c r="C58" s="47" t="s">
        <v>32</v>
      </c>
      <c r="D58" s="184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1"/>
      <c r="D60" s="371"/>
      <c r="E60" s="371"/>
      <c r="F60" s="371"/>
      <c r="G60" s="371"/>
      <c r="H60" s="371"/>
      <c r="I60" s="372"/>
    </row>
    <row r="61" spans="1:9" x14ac:dyDescent="0.25">
      <c r="A61" s="34"/>
      <c r="B61" s="18"/>
      <c r="C61" s="373"/>
      <c r="D61" s="373"/>
      <c r="E61" s="373"/>
      <c r="F61" s="373"/>
      <c r="G61" s="373"/>
      <c r="H61" s="373"/>
      <c r="I61" s="374"/>
    </row>
    <row r="62" spans="1:9" x14ac:dyDescent="0.25">
      <c r="A62" s="34"/>
      <c r="B62" s="18"/>
      <c r="C62" s="373"/>
      <c r="D62" s="373"/>
      <c r="E62" s="373"/>
      <c r="F62" s="373"/>
      <c r="G62" s="373"/>
      <c r="H62" s="373"/>
      <c r="I62" s="374"/>
    </row>
    <row r="63" spans="1:9" x14ac:dyDescent="0.25">
      <c r="A63" s="34"/>
      <c r="B63" s="18"/>
      <c r="C63" s="373"/>
      <c r="D63" s="373"/>
      <c r="E63" s="373"/>
      <c r="F63" s="373"/>
      <c r="G63" s="373"/>
      <c r="H63" s="373"/>
      <c r="I63" s="374"/>
    </row>
    <row r="64" spans="1:9" x14ac:dyDescent="0.25">
      <c r="A64" s="34"/>
      <c r="B64" s="18"/>
      <c r="C64" s="373"/>
      <c r="D64" s="373"/>
      <c r="E64" s="373"/>
      <c r="F64" s="373"/>
      <c r="G64" s="373"/>
      <c r="H64" s="373"/>
      <c r="I64" s="374"/>
    </row>
    <row r="65" spans="1:9" x14ac:dyDescent="0.25">
      <c r="A65" s="44"/>
      <c r="B65" s="45"/>
      <c r="C65" s="375"/>
      <c r="D65" s="375"/>
      <c r="E65" s="375"/>
      <c r="F65" s="375"/>
      <c r="G65" s="375"/>
      <c r="H65" s="375"/>
      <c r="I65" s="376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H54:H55"/>
    <mergeCell ref="H56:H57"/>
    <mergeCell ref="C60:I65"/>
    <mergeCell ref="E4:F4"/>
    <mergeCell ref="A5:B5"/>
    <mergeCell ref="A6:B6"/>
    <mergeCell ref="C6:H6"/>
    <mergeCell ref="C27:H27"/>
    <mergeCell ref="C46:H46"/>
    <mergeCell ref="A1:G1"/>
    <mergeCell ref="A2:B2"/>
    <mergeCell ref="E2:F2"/>
    <mergeCell ref="H2:I2"/>
    <mergeCell ref="A3:B3"/>
    <mergeCell ref="E3:F3"/>
    <mergeCell ref="H3:I3"/>
  </mergeCells>
  <conditionalFormatting sqref="C52:G52">
    <cfRule type="expression" dxfId="2615" priority="70">
      <formula>$F52="réalisé"</formula>
    </cfRule>
  </conditionalFormatting>
  <conditionalFormatting sqref="C48:C51 E48:H51 E29:H45 C10:H26 C8:G9">
    <cfRule type="expression" dxfId="2614" priority="67">
      <formula>$G8="réalisé"</formula>
    </cfRule>
    <cfRule type="expression" dxfId="2613" priority="68">
      <formula>$G8="en cours"</formula>
    </cfRule>
    <cfRule type="expression" dxfId="2612" priority="69">
      <formula>$G8="non compris"</formula>
    </cfRule>
  </conditionalFormatting>
  <conditionalFormatting sqref="C29:C45">
    <cfRule type="expression" dxfId="2611" priority="64">
      <formula>$G29="réalisé"</formula>
    </cfRule>
    <cfRule type="expression" dxfId="2610" priority="65">
      <formula>$G29="en cours"</formula>
    </cfRule>
    <cfRule type="expression" dxfId="2609" priority="66">
      <formula>$G29="non compris"</formula>
    </cfRule>
  </conditionalFormatting>
  <conditionalFormatting sqref="C55:F58">
    <cfRule type="expression" dxfId="2608" priority="63">
      <formula>$F55="réalisé"</formula>
    </cfRule>
  </conditionalFormatting>
  <conditionalFormatting sqref="G9">
    <cfRule type="expression" dxfId="2607" priority="62">
      <formula>$G$10="réalisé"</formula>
    </cfRule>
  </conditionalFormatting>
  <conditionalFormatting sqref="G10:G14">
    <cfRule type="expression" dxfId="2606" priority="61">
      <formula>$G$15="réalisé"</formula>
    </cfRule>
  </conditionalFormatting>
  <conditionalFormatting sqref="G20:G21">
    <cfRule type="expression" dxfId="2605" priority="60">
      <formula>$G$22="réalisé"</formula>
    </cfRule>
  </conditionalFormatting>
  <conditionalFormatting sqref="G30">
    <cfRule type="expression" dxfId="2604" priority="59">
      <formula>$G$31="réalisé"</formula>
    </cfRule>
  </conditionalFormatting>
  <conditionalFormatting sqref="D29">
    <cfRule type="expression" dxfId="2603" priority="56">
      <formula>$G29="réalisé"</formula>
    </cfRule>
    <cfRule type="expression" dxfId="2602" priority="57">
      <formula>$G29="en cours"</formula>
    </cfRule>
    <cfRule type="expression" dxfId="2601" priority="58">
      <formula>$G29="non compris"</formula>
    </cfRule>
  </conditionalFormatting>
  <conditionalFormatting sqref="D31">
    <cfRule type="expression" dxfId="2600" priority="53">
      <formula>$G31="réalisé"</formula>
    </cfRule>
    <cfRule type="expression" dxfId="2599" priority="54">
      <formula>$G31="en cours"</formula>
    </cfRule>
    <cfRule type="expression" dxfId="2598" priority="55">
      <formula>$G31="non compris"</formula>
    </cfRule>
  </conditionalFormatting>
  <conditionalFormatting sqref="D33">
    <cfRule type="expression" dxfId="2597" priority="50">
      <formula>$G33="réalisé"</formula>
    </cfRule>
    <cfRule type="expression" dxfId="2596" priority="51">
      <formula>$G33="en cours"</formula>
    </cfRule>
    <cfRule type="expression" dxfId="2595" priority="52">
      <formula>$G33="non compris"</formula>
    </cfRule>
  </conditionalFormatting>
  <conditionalFormatting sqref="D35">
    <cfRule type="expression" dxfId="2594" priority="47">
      <formula>$G35="réalisé"</formula>
    </cfRule>
    <cfRule type="expression" dxfId="2593" priority="48">
      <formula>$G35="en cours"</formula>
    </cfRule>
    <cfRule type="expression" dxfId="2592" priority="49">
      <formula>$G35="non compris"</formula>
    </cfRule>
  </conditionalFormatting>
  <conditionalFormatting sqref="D37">
    <cfRule type="expression" dxfId="2591" priority="44">
      <formula>$G37="réalisé"</formula>
    </cfRule>
    <cfRule type="expression" dxfId="2590" priority="45">
      <formula>$G37="en cours"</formula>
    </cfRule>
    <cfRule type="expression" dxfId="2589" priority="46">
      <formula>$G37="non compris"</formula>
    </cfRule>
  </conditionalFormatting>
  <conditionalFormatting sqref="D39">
    <cfRule type="expression" dxfId="2588" priority="41">
      <formula>$G39="réalisé"</formula>
    </cfRule>
    <cfRule type="expression" dxfId="2587" priority="42">
      <formula>$G39="en cours"</formula>
    </cfRule>
    <cfRule type="expression" dxfId="2586" priority="43">
      <formula>$G39="non compris"</formula>
    </cfRule>
  </conditionalFormatting>
  <conditionalFormatting sqref="D41">
    <cfRule type="expression" dxfId="2585" priority="38">
      <formula>$G41="réalisé"</formula>
    </cfRule>
    <cfRule type="expression" dxfId="2584" priority="39">
      <formula>$G41="en cours"</formula>
    </cfRule>
    <cfRule type="expression" dxfId="2583" priority="40">
      <formula>$G41="non compris"</formula>
    </cfRule>
  </conditionalFormatting>
  <conditionalFormatting sqref="D44:D45">
    <cfRule type="expression" dxfId="2582" priority="35">
      <formula>$G44="réalisé"</formula>
    </cfRule>
    <cfRule type="expression" dxfId="2581" priority="36">
      <formula>$G44="en cours"</formula>
    </cfRule>
    <cfRule type="expression" dxfId="2580" priority="37">
      <formula>$G44="non compris"</formula>
    </cfRule>
  </conditionalFormatting>
  <conditionalFormatting sqref="D30">
    <cfRule type="expression" dxfId="2579" priority="32">
      <formula>$G30="réalisé"</formula>
    </cfRule>
    <cfRule type="expression" dxfId="2578" priority="33">
      <formula>$G30="en cours"</formula>
    </cfRule>
    <cfRule type="expression" dxfId="2577" priority="34">
      <formula>$G30="non compris"</formula>
    </cfRule>
  </conditionalFormatting>
  <conditionalFormatting sqref="D32">
    <cfRule type="expression" dxfId="2576" priority="29">
      <formula>$G32="réalisé"</formula>
    </cfRule>
    <cfRule type="expression" dxfId="2575" priority="30">
      <formula>$G32="en cours"</formula>
    </cfRule>
    <cfRule type="expression" dxfId="2574" priority="31">
      <formula>$G32="non compris"</formula>
    </cfRule>
  </conditionalFormatting>
  <conditionalFormatting sqref="D34">
    <cfRule type="expression" dxfId="2573" priority="26">
      <formula>$G34="réalisé"</formula>
    </cfRule>
    <cfRule type="expression" dxfId="2572" priority="27">
      <formula>$G34="en cours"</formula>
    </cfRule>
    <cfRule type="expression" dxfId="2571" priority="28">
      <formula>$G34="non compris"</formula>
    </cfRule>
  </conditionalFormatting>
  <conditionalFormatting sqref="D36">
    <cfRule type="expression" dxfId="2570" priority="23">
      <formula>$G36="réalisé"</formula>
    </cfRule>
    <cfRule type="expression" dxfId="2569" priority="24">
      <formula>$G36="en cours"</formula>
    </cfRule>
    <cfRule type="expression" dxfId="2568" priority="25">
      <formula>$G36="non compris"</formula>
    </cfRule>
  </conditionalFormatting>
  <conditionalFormatting sqref="D38">
    <cfRule type="expression" dxfId="2567" priority="20">
      <formula>$G38="réalisé"</formula>
    </cfRule>
    <cfRule type="expression" dxfId="2566" priority="21">
      <formula>$G38="en cours"</formula>
    </cfRule>
    <cfRule type="expression" dxfId="2565" priority="22">
      <formula>$G38="non compris"</formula>
    </cfRule>
  </conditionalFormatting>
  <conditionalFormatting sqref="D40">
    <cfRule type="expression" dxfId="2564" priority="17">
      <formula>$G40="réalisé"</formula>
    </cfRule>
    <cfRule type="expression" dxfId="2563" priority="18">
      <formula>$G40="en cours"</formula>
    </cfRule>
    <cfRule type="expression" dxfId="2562" priority="19">
      <formula>$G40="non compris"</formula>
    </cfRule>
  </conditionalFormatting>
  <conditionalFormatting sqref="D42:D43">
    <cfRule type="expression" dxfId="2561" priority="14">
      <formula>$G42="réalisé"</formula>
    </cfRule>
    <cfRule type="expression" dxfId="2560" priority="15">
      <formula>$G42="en cours"</formula>
    </cfRule>
    <cfRule type="expression" dxfId="2559" priority="16">
      <formula>$G42="non compris"</formula>
    </cfRule>
  </conditionalFormatting>
  <conditionalFormatting sqref="D50">
    <cfRule type="expression" dxfId="2558" priority="11">
      <formula>$G50="réalisé"</formula>
    </cfRule>
    <cfRule type="expression" dxfId="2557" priority="12">
      <formula>$G50="en cours"</formula>
    </cfRule>
    <cfRule type="expression" dxfId="2556" priority="13">
      <formula>$G50="non compris"</formula>
    </cfRule>
  </conditionalFormatting>
  <conditionalFormatting sqref="D49">
    <cfRule type="expression" dxfId="2555" priority="8">
      <formula>$G49="réalisé"</formula>
    </cfRule>
    <cfRule type="expression" dxfId="2554" priority="9">
      <formula>$G49="en cours"</formula>
    </cfRule>
    <cfRule type="expression" dxfId="2553" priority="10">
      <formula>$G49="non compris"</formula>
    </cfRule>
  </conditionalFormatting>
  <conditionalFormatting sqref="D48">
    <cfRule type="expression" dxfId="2552" priority="5">
      <formula>$G48="réalisé"</formula>
    </cfRule>
    <cfRule type="expression" dxfId="2551" priority="6">
      <formula>$G48="en cours"</formula>
    </cfRule>
    <cfRule type="expression" dxfId="2550" priority="7">
      <formula>$G48="non compris"</formula>
    </cfRule>
  </conditionalFormatting>
  <conditionalFormatting sqref="D51">
    <cfRule type="expression" dxfId="2549" priority="2">
      <formula>$G51="réalisé"</formula>
    </cfRule>
    <cfRule type="expression" dxfId="2548" priority="3">
      <formula>$G51="en cours"</formula>
    </cfRule>
    <cfRule type="expression" dxfId="2547" priority="4">
      <formula>$G51="non compris"</formula>
    </cfRule>
  </conditionalFormatting>
  <conditionalFormatting sqref="D8:D26">
    <cfRule type="expression" dxfId="2546" priority="1">
      <formula>$D$8="NON CONCERNÉ"</formula>
    </cfRule>
  </conditionalFormatting>
  <conditionalFormatting sqref="H8">
    <cfRule type="expression" dxfId="2545" priority="85">
      <formula>$G9="réalisé"</formula>
    </cfRule>
    <cfRule type="expression" dxfId="2544" priority="86">
      <formula>$G9="en cours"</formula>
    </cfRule>
    <cfRule type="expression" dxfId="2543" priority="87">
      <formula>$G9="non compris"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77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00B050"/>
    <pageSetUpPr fitToPage="1"/>
  </sheetPr>
  <dimension ref="A1:I74"/>
  <sheetViews>
    <sheetView topLeftCell="A16" zoomScaleNormal="100" workbookViewId="0">
      <selection activeCell="G10" sqref="G10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7" t="s">
        <v>0</v>
      </c>
      <c r="B1" s="378"/>
      <c r="C1" s="378"/>
      <c r="D1" s="378"/>
      <c r="E1" s="378"/>
      <c r="F1" s="378"/>
      <c r="G1" s="378"/>
      <c r="H1" s="1" t="s">
        <v>1</v>
      </c>
      <c r="I1" s="3">
        <f ca="1">INT(MOD(INT((LISTE!D1-2)/7)+0.6,52+5/28))+1</f>
        <v>41</v>
      </c>
    </row>
    <row r="2" spans="1:9" x14ac:dyDescent="0.25">
      <c r="A2" s="390" t="s">
        <v>2</v>
      </c>
      <c r="B2" s="391"/>
      <c r="C2" s="70" t="str">
        <f ca="1">MID(CELL("nomfichier",A1),FIND("]",CELL("nomfichier",A1),1)+1,30)</f>
        <v>HACQUIN</v>
      </c>
      <c r="D2" s="4" t="s">
        <v>72</v>
      </c>
      <c r="E2" s="379"/>
      <c r="F2" s="379"/>
      <c r="G2" s="5"/>
      <c r="H2" s="380" t="s">
        <v>143</v>
      </c>
      <c r="I2" s="381"/>
    </row>
    <row r="3" spans="1:9" ht="15.75" x14ac:dyDescent="0.25">
      <c r="A3" s="392" t="s">
        <v>106</v>
      </c>
      <c r="B3" s="384"/>
      <c r="C3" s="6"/>
      <c r="D3" s="7" t="s">
        <v>3</v>
      </c>
      <c r="E3" s="382"/>
      <c r="F3" s="383"/>
      <c r="G3" s="8"/>
      <c r="H3" s="384" t="str">
        <f ca="1">DATEDIF(E3,TODAY(),"m")&amp;"mois"&amp;-DATEDIF(E3,TODAY(),"md")&amp;"jours"</f>
        <v>1425mois-12jours</v>
      </c>
      <c r="I3" s="385"/>
    </row>
    <row r="4" spans="1:9" ht="18.75" x14ac:dyDescent="0.25">
      <c r="A4" s="69" t="s">
        <v>117</v>
      </c>
      <c r="B4" s="129"/>
      <c r="C4" s="9"/>
      <c r="D4" s="10" t="s">
        <v>4</v>
      </c>
      <c r="E4" s="386">
        <f>E3+60</f>
        <v>60</v>
      </c>
      <c r="F4" s="386"/>
      <c r="G4" s="11"/>
      <c r="H4" s="12"/>
      <c r="I4" s="13"/>
    </row>
    <row r="5" spans="1:9" x14ac:dyDescent="0.25">
      <c r="A5" s="393" t="s">
        <v>76</v>
      </c>
      <c r="B5" s="394"/>
      <c r="C5" s="15"/>
      <c r="D5" s="16"/>
      <c r="E5" s="15"/>
      <c r="F5" s="15"/>
      <c r="G5" s="17"/>
      <c r="H5" s="18"/>
      <c r="I5" s="19"/>
    </row>
    <row r="6" spans="1:9" ht="18.75" x14ac:dyDescent="0.3">
      <c r="A6" s="395" t="s">
        <v>75</v>
      </c>
      <c r="B6" s="396"/>
      <c r="C6" s="387" t="s">
        <v>145</v>
      </c>
      <c r="D6" s="388"/>
      <c r="E6" s="388"/>
      <c r="F6" s="388"/>
      <c r="G6" s="388"/>
      <c r="H6" s="389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22"/>
      <c r="B8" s="200"/>
      <c r="C8" s="28" t="s">
        <v>124</v>
      </c>
      <c r="D8" s="52" t="s">
        <v>204</v>
      </c>
      <c r="E8" s="180">
        <v>40</v>
      </c>
      <c r="F8" s="25"/>
      <c r="G8" s="26" t="s">
        <v>36</v>
      </c>
      <c r="H8" s="27"/>
      <c r="I8" s="19"/>
    </row>
    <row r="9" spans="1:9" x14ac:dyDescent="0.25">
      <c r="A9" s="122"/>
      <c r="B9" s="130"/>
      <c r="C9" s="28" t="s">
        <v>131</v>
      </c>
      <c r="D9" s="53" t="str">
        <f>D8</f>
        <v>SA3 BÂTIMENT</v>
      </c>
      <c r="E9" s="181">
        <f>E8+1</f>
        <v>41</v>
      </c>
      <c r="F9" s="29"/>
      <c r="G9" s="30" t="s">
        <v>36</v>
      </c>
      <c r="H9" s="27"/>
      <c r="I9" s="19"/>
    </row>
    <row r="10" spans="1:9" ht="15" customHeight="1" x14ac:dyDescent="0.25">
      <c r="A10" s="131"/>
      <c r="B10" s="182"/>
      <c r="C10" s="28" t="s">
        <v>132</v>
      </c>
      <c r="D10" s="52" t="str">
        <f>D9</f>
        <v>SA3 BÂTIMENT</v>
      </c>
      <c r="E10" s="180">
        <f>E9</f>
        <v>41</v>
      </c>
      <c r="F10" s="31"/>
      <c r="G10" s="30" t="s">
        <v>35</v>
      </c>
      <c r="H10" s="27"/>
      <c r="I10" s="19"/>
    </row>
    <row r="11" spans="1:9" ht="15" customHeight="1" x14ac:dyDescent="0.25">
      <c r="A11" s="131"/>
      <c r="B11" s="132"/>
      <c r="C11" s="28" t="s">
        <v>133</v>
      </c>
      <c r="D11" s="54" t="str">
        <f>D8</f>
        <v>SA3 BÂTIMENT</v>
      </c>
      <c r="E11" s="180">
        <f>E10+1</f>
        <v>42</v>
      </c>
      <c r="F11" s="31"/>
      <c r="G11" s="30" t="s">
        <v>9</v>
      </c>
      <c r="H11" s="27"/>
      <c r="I11" s="19"/>
    </row>
    <row r="12" spans="1:9" ht="15" customHeight="1" x14ac:dyDescent="0.25">
      <c r="A12" s="144">
        <v>15331.86</v>
      </c>
      <c r="B12" s="143">
        <f>A12</f>
        <v>15331.86</v>
      </c>
      <c r="C12" s="28" t="s">
        <v>134</v>
      </c>
      <c r="D12" s="54" t="str">
        <f t="shared" ref="D12:D14" si="0">D9</f>
        <v>SA3 BÂTIMENT</v>
      </c>
      <c r="E12" s="180">
        <f>E11+2</f>
        <v>44</v>
      </c>
      <c r="F12" s="31"/>
      <c r="G12" s="30" t="s">
        <v>9</v>
      </c>
      <c r="H12" s="27"/>
      <c r="I12" s="19"/>
    </row>
    <row r="13" spans="1:9" ht="15" customHeight="1" x14ac:dyDescent="0.25">
      <c r="A13" s="131"/>
      <c r="B13" s="132"/>
      <c r="C13" s="28" t="s">
        <v>135</v>
      </c>
      <c r="D13" s="54" t="str">
        <f t="shared" si="0"/>
        <v>SA3 BÂTIMENT</v>
      </c>
      <c r="E13" s="180">
        <f>E12+1</f>
        <v>45</v>
      </c>
      <c r="F13" s="31"/>
      <c r="G13" s="30" t="s">
        <v>9</v>
      </c>
      <c r="H13" s="27"/>
      <c r="I13" s="19"/>
    </row>
    <row r="14" spans="1:9" ht="15" customHeight="1" x14ac:dyDescent="0.25">
      <c r="A14" s="131"/>
      <c r="B14" s="132"/>
      <c r="C14" s="28" t="s">
        <v>136</v>
      </c>
      <c r="D14" s="54" t="str">
        <f t="shared" si="0"/>
        <v>SA3 BÂTIMENT</v>
      </c>
      <c r="E14" s="180">
        <f>E13</f>
        <v>45</v>
      </c>
      <c r="F14" s="31"/>
      <c r="G14" s="30" t="s">
        <v>9</v>
      </c>
      <c r="H14" s="27"/>
      <c r="I14" s="19"/>
    </row>
    <row r="15" spans="1:9" x14ac:dyDescent="0.25">
      <c r="A15" s="131"/>
      <c r="B15" s="132"/>
      <c r="C15" s="28" t="s">
        <v>62</v>
      </c>
      <c r="D15" s="53" t="s">
        <v>64</v>
      </c>
      <c r="E15" s="24">
        <f>E10+1</f>
        <v>42</v>
      </c>
      <c r="F15" s="29"/>
      <c r="G15" s="30" t="s">
        <v>70</v>
      </c>
      <c r="H15" s="27"/>
      <c r="I15" s="19"/>
    </row>
    <row r="16" spans="1:9" x14ac:dyDescent="0.25">
      <c r="A16" s="131"/>
      <c r="B16" s="132"/>
      <c r="C16" s="28" t="s">
        <v>10</v>
      </c>
      <c r="D16" s="52" t="s">
        <v>64</v>
      </c>
      <c r="E16" s="24">
        <f>E15+1</f>
        <v>43</v>
      </c>
      <c r="F16" s="29"/>
      <c r="G16" s="30" t="s">
        <v>70</v>
      </c>
      <c r="H16" s="27"/>
      <c r="I16" s="19"/>
    </row>
    <row r="17" spans="1:9" x14ac:dyDescent="0.25">
      <c r="A17" s="131"/>
      <c r="B17" s="132"/>
      <c r="C17" s="28" t="s">
        <v>11</v>
      </c>
      <c r="D17" s="53" t="s">
        <v>176</v>
      </c>
      <c r="E17" s="24">
        <f>E13+1</f>
        <v>46</v>
      </c>
      <c r="F17" s="29"/>
      <c r="G17" s="30" t="s">
        <v>9</v>
      </c>
      <c r="H17" s="27"/>
      <c r="I17" s="19"/>
    </row>
    <row r="18" spans="1:9" x14ac:dyDescent="0.25">
      <c r="A18" s="144">
        <v>468.97</v>
      </c>
      <c r="B18" s="143">
        <f>A18</f>
        <v>468.97</v>
      </c>
      <c r="C18" s="28" t="s">
        <v>12</v>
      </c>
      <c r="D18" s="52" t="s">
        <v>41</v>
      </c>
      <c r="E18" s="180">
        <f>IF(E13="","",MOD(E17+1,52))</f>
        <v>47</v>
      </c>
      <c r="F18" s="29"/>
      <c r="G18" s="30" t="s">
        <v>9</v>
      </c>
      <c r="H18" s="27"/>
      <c r="I18" s="19"/>
    </row>
    <row r="19" spans="1:9" x14ac:dyDescent="0.25">
      <c r="A19" s="131"/>
      <c r="B19" s="132"/>
      <c r="C19" s="28" t="s">
        <v>73</v>
      </c>
      <c r="D19" s="53" t="str">
        <f>D10</f>
        <v>SA3 BÂTIMENT</v>
      </c>
      <c r="E19" s="24">
        <f>IF(E18="","",MOD(E18+1,52))</f>
        <v>48</v>
      </c>
      <c r="F19" s="29"/>
      <c r="G19" s="30" t="s">
        <v>9</v>
      </c>
      <c r="H19" s="27"/>
      <c r="I19" s="19"/>
    </row>
    <row r="20" spans="1:9" x14ac:dyDescent="0.25">
      <c r="A20" s="149">
        <v>493.43</v>
      </c>
      <c r="B20" s="143">
        <f>A20</f>
        <v>493.43</v>
      </c>
      <c r="C20" s="28" t="s">
        <v>59</v>
      </c>
      <c r="D20" s="52" t="s">
        <v>41</v>
      </c>
      <c r="E20" s="24">
        <f>IF(E19="","",MOD(E19+1,52))</f>
        <v>49</v>
      </c>
      <c r="F20" s="29"/>
      <c r="G20" s="30" t="s">
        <v>9</v>
      </c>
      <c r="H20" s="27"/>
      <c r="I20" s="19"/>
    </row>
    <row r="21" spans="1:9" x14ac:dyDescent="0.25">
      <c r="A21" s="142"/>
      <c r="B21" s="143">
        <f>A21</f>
        <v>0</v>
      </c>
      <c r="C21" s="28" t="s">
        <v>60</v>
      </c>
      <c r="D21" s="54" t="s">
        <v>44</v>
      </c>
      <c r="E21" s="24">
        <f>E20</f>
        <v>49</v>
      </c>
      <c r="F21" s="29"/>
      <c r="G21" s="30" t="s">
        <v>9</v>
      </c>
      <c r="H21" s="50"/>
      <c r="I21" s="19"/>
    </row>
    <row r="22" spans="1:9" x14ac:dyDescent="0.25">
      <c r="A22" s="131"/>
      <c r="B22" s="132"/>
      <c r="C22" s="167" t="s">
        <v>13</v>
      </c>
      <c r="D22" s="168" t="s">
        <v>68</v>
      </c>
      <c r="E22" s="169">
        <f>E20</f>
        <v>49</v>
      </c>
      <c r="F22" s="170"/>
      <c r="G22" s="171" t="s">
        <v>9</v>
      </c>
      <c r="H22" s="172"/>
      <c r="I22" s="19"/>
    </row>
    <row r="23" spans="1:9" x14ac:dyDescent="0.25">
      <c r="A23" s="144">
        <v>2147.29</v>
      </c>
      <c r="B23" s="143">
        <f>A23</f>
        <v>2147.29</v>
      </c>
      <c r="C23" s="32" t="s">
        <v>138</v>
      </c>
      <c r="D23" s="52" t="s">
        <v>45</v>
      </c>
      <c r="E23" s="24">
        <f>IF(E20="","",MOD(E20+2,52))</f>
        <v>51</v>
      </c>
      <c r="F23" s="29"/>
      <c r="G23" s="30" t="s">
        <v>9</v>
      </c>
      <c r="H23" s="27"/>
      <c r="I23" s="19"/>
    </row>
    <row r="24" spans="1:9" x14ac:dyDescent="0.25">
      <c r="A24" s="131"/>
      <c r="B24" s="132"/>
      <c r="C24" s="28" t="s">
        <v>14</v>
      </c>
      <c r="D24" s="53" t="str">
        <f>D17</f>
        <v>INDUSTRIE SERVICE</v>
      </c>
      <c r="E24" s="24">
        <f>IF(E20="","",MOD(E20+2,52))</f>
        <v>51</v>
      </c>
      <c r="F24" s="29"/>
      <c r="G24" s="30" t="s">
        <v>9</v>
      </c>
      <c r="H24" s="27"/>
      <c r="I24" s="19"/>
    </row>
    <row r="25" spans="1:9" x14ac:dyDescent="0.25">
      <c r="A25" s="143"/>
      <c r="B25" s="143">
        <f>A25</f>
        <v>0</v>
      </c>
      <c r="C25" s="183" t="s">
        <v>137</v>
      </c>
      <c r="D25" s="53" t="s">
        <v>64</v>
      </c>
      <c r="E25" s="24">
        <f>E23</f>
        <v>51</v>
      </c>
      <c r="F25" s="29"/>
      <c r="G25" s="72" t="s">
        <v>70</v>
      </c>
      <c r="H25" s="27"/>
      <c r="I25" s="19"/>
    </row>
    <row r="26" spans="1:9" x14ac:dyDescent="0.25">
      <c r="A26" s="131"/>
      <c r="B26" s="132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145"/>
      <c r="B27" s="146"/>
      <c r="C27" s="387" t="s">
        <v>144</v>
      </c>
      <c r="D27" s="388"/>
      <c r="E27" s="388"/>
      <c r="F27" s="388"/>
      <c r="G27" s="388"/>
      <c r="H27" s="389"/>
      <c r="I27" s="19"/>
    </row>
    <row r="28" spans="1:9" ht="15.75" thickBot="1" x14ac:dyDescent="0.3">
      <c r="A28" s="131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44">
        <v>1220.6400000000001</v>
      </c>
      <c r="B29" s="143">
        <f>A29</f>
        <v>1220.6400000000001</v>
      </c>
      <c r="C29" s="78" t="s">
        <v>66</v>
      </c>
      <c r="D29" s="52" t="s">
        <v>49</v>
      </c>
      <c r="E29" s="79">
        <f>IF(E24="","",MOD(E24+1,52))</f>
        <v>0</v>
      </c>
      <c r="F29" s="25"/>
      <c r="G29" s="26" t="s">
        <v>9</v>
      </c>
      <c r="H29" s="27"/>
      <c r="I29" s="19"/>
    </row>
    <row r="30" spans="1:9" x14ac:dyDescent="0.25">
      <c r="A30" s="144">
        <v>1925.23</v>
      </c>
      <c r="B30" s="143">
        <f>A30</f>
        <v>1925.23</v>
      </c>
      <c r="C30" s="28" t="s">
        <v>67</v>
      </c>
      <c r="D30" s="53" t="s">
        <v>47</v>
      </c>
      <c r="E30" s="24">
        <f>IF(E29="","",MOD(E29+1,52))</f>
        <v>1</v>
      </c>
      <c r="F30" s="29"/>
      <c r="G30" s="30"/>
      <c r="H30" s="27"/>
      <c r="I30" s="19"/>
    </row>
    <row r="31" spans="1:9" x14ac:dyDescent="0.25">
      <c r="A31" s="131"/>
      <c r="B31" s="132"/>
      <c r="C31" s="62" t="s">
        <v>16</v>
      </c>
      <c r="D31" s="52" t="str">
        <f>D29</f>
        <v>BENELEC</v>
      </c>
      <c r="E31" s="24">
        <f>IF(E30="","",MOD(E30+2,52))</f>
        <v>3</v>
      </c>
      <c r="F31" s="29"/>
      <c r="G31" s="30"/>
      <c r="H31" s="27"/>
      <c r="I31" s="19"/>
    </row>
    <row r="32" spans="1:9" x14ac:dyDescent="0.25">
      <c r="A32" s="143"/>
      <c r="B32" s="143">
        <f>A32</f>
        <v>0</v>
      </c>
      <c r="C32" s="80" t="s">
        <v>17</v>
      </c>
      <c r="D32" s="53" t="s">
        <v>128</v>
      </c>
      <c r="E32" s="24">
        <f>IF(E30="","",MOD(E30+2,52))</f>
        <v>3</v>
      </c>
      <c r="F32" s="29"/>
      <c r="G32" s="30"/>
      <c r="H32" s="27"/>
      <c r="I32" s="19"/>
    </row>
    <row r="33" spans="1:9" x14ac:dyDescent="0.25">
      <c r="A33" s="143"/>
      <c r="B33" s="143"/>
      <c r="C33" s="62" t="s">
        <v>140</v>
      </c>
      <c r="D33" s="52" t="s">
        <v>64</v>
      </c>
      <c r="E33" s="24">
        <f>IF(E32="","",MOD(E32+1,52))</f>
        <v>4</v>
      </c>
      <c r="F33" s="29"/>
      <c r="G33" s="30" t="s">
        <v>70</v>
      </c>
      <c r="H33" s="27"/>
      <c r="I33" s="19"/>
    </row>
    <row r="34" spans="1:9" x14ac:dyDescent="0.25">
      <c r="A34" s="143"/>
      <c r="B34" s="143">
        <f>A34</f>
        <v>0</v>
      </c>
      <c r="C34" s="28" t="s">
        <v>141</v>
      </c>
      <c r="D34" s="53" t="s">
        <v>64</v>
      </c>
      <c r="E34" s="24">
        <f>IF(E32="","",MOD(E32+1,52))</f>
        <v>4</v>
      </c>
      <c r="F34" s="29"/>
      <c r="G34" s="30" t="s">
        <v>70</v>
      </c>
      <c r="H34" s="27"/>
      <c r="I34" s="19"/>
    </row>
    <row r="35" spans="1:9" x14ac:dyDescent="0.25">
      <c r="A35" s="131"/>
      <c r="B35" s="13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144"/>
      <c r="B36" s="143">
        <f>A36</f>
        <v>0</v>
      </c>
      <c r="C36" s="28" t="s">
        <v>19</v>
      </c>
      <c r="D36" s="53" t="s">
        <v>52</v>
      </c>
      <c r="E36" s="24">
        <f>IF(E34="","",MOD(E34+1,52))</f>
        <v>5</v>
      </c>
      <c r="F36" s="29"/>
      <c r="G36" s="30"/>
      <c r="H36" s="27"/>
      <c r="I36" s="19"/>
    </row>
    <row r="37" spans="1:9" x14ac:dyDescent="0.25">
      <c r="A37" s="131"/>
      <c r="B37" s="132"/>
      <c r="C37" s="28" t="s">
        <v>20</v>
      </c>
      <c r="D37" s="52" t="str">
        <f>D30</f>
        <v>SOARES</v>
      </c>
      <c r="E37" s="24">
        <f>IF(E36="","",MOD(E36+1,52))</f>
        <v>6</v>
      </c>
      <c r="F37" s="29"/>
      <c r="G37" s="30"/>
      <c r="H37" s="27"/>
      <c r="I37" s="19"/>
    </row>
    <row r="38" spans="1:9" x14ac:dyDescent="0.25">
      <c r="A38" s="131"/>
      <c r="B38" s="132"/>
      <c r="C38" s="28" t="s">
        <v>21</v>
      </c>
      <c r="D38" s="53" t="str">
        <f>D29</f>
        <v>BENELEC</v>
      </c>
      <c r="E38" s="24">
        <f>IF(E37="","",MOD(E37+1,52))</f>
        <v>7</v>
      </c>
      <c r="F38" s="29"/>
      <c r="G38" s="30" t="s">
        <v>9</v>
      </c>
      <c r="H38" s="27"/>
      <c r="I38" s="19"/>
    </row>
    <row r="39" spans="1:9" x14ac:dyDescent="0.25">
      <c r="A39" s="131"/>
      <c r="B39" s="132"/>
      <c r="C39" s="28" t="s">
        <v>22</v>
      </c>
      <c r="D39" s="52" t="str">
        <f>D32</f>
        <v>MEYER</v>
      </c>
      <c r="E39" s="24">
        <f>IF(E37="","",MOD(E37+1,52))</f>
        <v>7</v>
      </c>
      <c r="F39" s="29"/>
      <c r="G39" s="30"/>
      <c r="H39" s="27"/>
      <c r="I39" s="19"/>
    </row>
    <row r="40" spans="1:9" x14ac:dyDescent="0.25">
      <c r="A40" s="131"/>
      <c r="B40" s="132"/>
      <c r="C40" s="28" t="s">
        <v>23</v>
      </c>
      <c r="D40" s="53" t="s">
        <v>64</v>
      </c>
      <c r="E40" s="24">
        <f>E36+4</f>
        <v>9</v>
      </c>
      <c r="F40" s="29"/>
      <c r="G40" s="30" t="s">
        <v>70</v>
      </c>
      <c r="H40" s="27"/>
      <c r="I40" s="19"/>
    </row>
    <row r="41" spans="1:9" x14ac:dyDescent="0.25">
      <c r="A41" s="131"/>
      <c r="B41" s="132"/>
      <c r="C41" s="28" t="s">
        <v>24</v>
      </c>
      <c r="D41" s="52" t="s">
        <v>64</v>
      </c>
      <c r="E41" s="24">
        <f>E39+1</f>
        <v>8</v>
      </c>
      <c r="F41" s="29"/>
      <c r="G41" s="30" t="s">
        <v>70</v>
      </c>
      <c r="H41" s="27"/>
      <c r="I41" s="19"/>
    </row>
    <row r="42" spans="1:9" x14ac:dyDescent="0.25">
      <c r="A42" s="131"/>
      <c r="B42" s="132"/>
      <c r="C42" s="28" t="s">
        <v>25</v>
      </c>
      <c r="D42" s="53" t="str">
        <f>D34</f>
        <v>A CHARGE CLIENT</v>
      </c>
      <c r="E42" s="24">
        <f>IF(E40="","",MOD(E40+2,52))</f>
        <v>11</v>
      </c>
      <c r="F42" s="29"/>
      <c r="G42" s="30" t="s">
        <v>70</v>
      </c>
      <c r="H42" s="27"/>
      <c r="I42" s="19"/>
    </row>
    <row r="43" spans="1:9" x14ac:dyDescent="0.25">
      <c r="A43" s="143"/>
      <c r="B43" s="143">
        <f>A43</f>
        <v>0</v>
      </c>
      <c r="C43" s="81" t="s">
        <v>147</v>
      </c>
      <c r="D43" s="52" t="s">
        <v>64</v>
      </c>
      <c r="E43" s="82">
        <f>E44</f>
        <v>11</v>
      </c>
      <c r="F43" s="83"/>
      <c r="G43" s="72" t="s">
        <v>70</v>
      </c>
      <c r="H43" s="27"/>
      <c r="I43" s="19"/>
    </row>
    <row r="44" spans="1:9" x14ac:dyDescent="0.25">
      <c r="A44" s="143"/>
      <c r="B44" s="143">
        <f>A44</f>
        <v>0</v>
      </c>
      <c r="C44" s="81" t="s">
        <v>139</v>
      </c>
      <c r="D44" s="193" t="s">
        <v>196</v>
      </c>
      <c r="E44" s="82">
        <f>IF(E40="","",MOD(E40+2,52))</f>
        <v>11</v>
      </c>
      <c r="F44" s="83"/>
      <c r="G44" s="72"/>
      <c r="H44" s="194"/>
      <c r="I44" s="19"/>
    </row>
    <row r="45" spans="1:9" x14ac:dyDescent="0.25">
      <c r="A45" s="131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145"/>
      <c r="B46" s="146"/>
      <c r="C46" s="387" t="s">
        <v>146</v>
      </c>
      <c r="D46" s="388"/>
      <c r="E46" s="388"/>
      <c r="F46" s="388"/>
      <c r="G46" s="388"/>
      <c r="H46" s="389"/>
      <c r="I46" s="19"/>
    </row>
    <row r="47" spans="1:9" ht="15.75" thickBot="1" x14ac:dyDescent="0.3">
      <c r="A47" s="131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143"/>
      <c r="B48" s="143">
        <f>A48</f>
        <v>0</v>
      </c>
      <c r="C48" s="88" t="s">
        <v>26</v>
      </c>
      <c r="D48" s="52" t="s">
        <v>64</v>
      </c>
      <c r="E48" s="89">
        <f>E32+1</f>
        <v>4</v>
      </c>
      <c r="F48" s="25"/>
      <c r="G48" s="26" t="s">
        <v>70</v>
      </c>
      <c r="H48" s="27"/>
      <c r="I48" s="19"/>
    </row>
    <row r="49" spans="1:9" x14ac:dyDescent="0.25">
      <c r="A49" s="133"/>
      <c r="B49" s="173"/>
      <c r="C49" s="102" t="s">
        <v>69</v>
      </c>
      <c r="D49" s="103" t="s">
        <v>64</v>
      </c>
      <c r="E49" s="104">
        <f>E48</f>
        <v>4</v>
      </c>
      <c r="F49" s="105"/>
      <c r="G49" s="106" t="s">
        <v>70</v>
      </c>
      <c r="H49" s="27"/>
      <c r="I49" s="19"/>
    </row>
    <row r="50" spans="1:9" x14ac:dyDescent="0.25">
      <c r="A50" s="133"/>
      <c r="B50" s="173"/>
      <c r="C50" s="92" t="s">
        <v>61</v>
      </c>
      <c r="D50" s="99" t="s">
        <v>68</v>
      </c>
      <c r="E50" s="101">
        <f>E48+1</f>
        <v>5</v>
      </c>
      <c r="F50" s="95"/>
      <c r="G50" s="96" t="s">
        <v>9</v>
      </c>
      <c r="H50" s="97"/>
      <c r="I50" s="19"/>
    </row>
    <row r="51" spans="1:9" x14ac:dyDescent="0.25">
      <c r="A51" s="133">
        <f>SUM(A12:A50)</f>
        <v>21587.42</v>
      </c>
      <c r="B51" s="173"/>
      <c r="C51" s="91" t="s">
        <v>27</v>
      </c>
      <c r="D51" s="52" t="s">
        <v>64</v>
      </c>
      <c r="E51" s="90">
        <f>E48+3</f>
        <v>7</v>
      </c>
      <c r="F51" s="29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7" t="s">
        <v>142</v>
      </c>
      <c r="I54" s="19"/>
    </row>
    <row r="55" spans="1:9" x14ac:dyDescent="0.25">
      <c r="A55" s="42"/>
      <c r="B55" s="126"/>
      <c r="C55" s="43" t="s">
        <v>122</v>
      </c>
      <c r="D55" s="107"/>
      <c r="E55" s="44"/>
      <c r="F55" s="45"/>
      <c r="G55" s="18"/>
      <c r="H55" s="398"/>
      <c r="I55" s="19"/>
    </row>
    <row r="56" spans="1:9" x14ac:dyDescent="0.25">
      <c r="A56" s="42"/>
      <c r="B56" s="126"/>
      <c r="C56" s="33" t="s">
        <v>123</v>
      </c>
      <c r="D56" s="49"/>
      <c r="E56" s="46"/>
      <c r="F56" s="2"/>
      <c r="G56" s="18"/>
      <c r="H56" s="399" t="str">
        <f>DATEDIF(E3,D58,"m")&amp;"mois"&amp;DATEDIF(E3,D58,"md")&amp;"jours"</f>
        <v>0mois0jours</v>
      </c>
      <c r="I56" s="19"/>
    </row>
    <row r="57" spans="1:9" ht="15.75" thickBot="1" x14ac:dyDescent="0.3">
      <c r="A57" s="42"/>
      <c r="B57" s="126"/>
      <c r="C57" s="33" t="s">
        <v>31</v>
      </c>
      <c r="D57" s="176"/>
      <c r="E57" s="46"/>
      <c r="F57" s="2"/>
      <c r="G57" s="18"/>
      <c r="H57" s="400"/>
      <c r="I57" s="19"/>
    </row>
    <row r="58" spans="1:9" x14ac:dyDescent="0.25">
      <c r="A58" s="42"/>
      <c r="B58" s="126"/>
      <c r="C58" s="47" t="s">
        <v>32</v>
      </c>
      <c r="D58" s="184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1"/>
      <c r="D60" s="371"/>
      <c r="E60" s="371"/>
      <c r="F60" s="371"/>
      <c r="G60" s="371"/>
      <c r="H60" s="371"/>
      <c r="I60" s="372"/>
    </row>
    <row r="61" spans="1:9" x14ac:dyDescent="0.25">
      <c r="A61" s="34"/>
      <c r="B61" s="18"/>
      <c r="C61" s="373"/>
      <c r="D61" s="373"/>
      <c r="E61" s="373"/>
      <c r="F61" s="373"/>
      <c r="G61" s="373"/>
      <c r="H61" s="373"/>
      <c r="I61" s="374"/>
    </row>
    <row r="62" spans="1:9" x14ac:dyDescent="0.25">
      <c r="A62" s="34"/>
      <c r="B62" s="18"/>
      <c r="C62" s="373"/>
      <c r="D62" s="373"/>
      <c r="E62" s="373"/>
      <c r="F62" s="373"/>
      <c r="G62" s="373"/>
      <c r="H62" s="373"/>
      <c r="I62" s="374"/>
    </row>
    <row r="63" spans="1:9" x14ac:dyDescent="0.25">
      <c r="A63" s="34"/>
      <c r="B63" s="18"/>
      <c r="C63" s="373"/>
      <c r="D63" s="373"/>
      <c r="E63" s="373"/>
      <c r="F63" s="373"/>
      <c r="G63" s="373"/>
      <c r="H63" s="373"/>
      <c r="I63" s="374"/>
    </row>
    <row r="64" spans="1:9" x14ac:dyDescent="0.25">
      <c r="A64" s="34"/>
      <c r="B64" s="18"/>
      <c r="C64" s="373"/>
      <c r="D64" s="373"/>
      <c r="E64" s="373"/>
      <c r="F64" s="373"/>
      <c r="G64" s="373"/>
      <c r="H64" s="373"/>
      <c r="I64" s="374"/>
    </row>
    <row r="65" spans="1:9" x14ac:dyDescent="0.25">
      <c r="A65" s="44"/>
      <c r="B65" s="45"/>
      <c r="C65" s="375"/>
      <c r="D65" s="375"/>
      <c r="E65" s="375"/>
      <c r="F65" s="375"/>
      <c r="G65" s="375"/>
      <c r="H65" s="375"/>
      <c r="I65" s="376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H54:H55"/>
    <mergeCell ref="H56:H57"/>
    <mergeCell ref="C60:I65"/>
    <mergeCell ref="E4:F4"/>
    <mergeCell ref="A5:B5"/>
    <mergeCell ref="A6:B6"/>
    <mergeCell ref="C6:H6"/>
    <mergeCell ref="C27:H27"/>
    <mergeCell ref="C46:H46"/>
    <mergeCell ref="A1:G1"/>
    <mergeCell ref="A2:B2"/>
    <mergeCell ref="E2:F2"/>
    <mergeCell ref="H2:I2"/>
    <mergeCell ref="A3:B3"/>
    <mergeCell ref="E3:F3"/>
    <mergeCell ref="H3:I3"/>
  </mergeCells>
  <conditionalFormatting sqref="C52:G52">
    <cfRule type="expression" dxfId="2500" priority="70">
      <formula>$F52="réalisé"</formula>
    </cfRule>
  </conditionalFormatting>
  <conditionalFormatting sqref="C48:C51 E48:H51 E29:H45 C8:H26">
    <cfRule type="expression" dxfId="2499" priority="67">
      <formula>$G8="réalisé"</formula>
    </cfRule>
    <cfRule type="expression" dxfId="2498" priority="68">
      <formula>$G8="en cours"</formula>
    </cfRule>
    <cfRule type="expression" dxfId="2497" priority="69">
      <formula>$G8="non compris"</formula>
    </cfRule>
  </conditionalFormatting>
  <conditionalFormatting sqref="C29:C45">
    <cfRule type="expression" dxfId="2496" priority="64">
      <formula>$G29="réalisé"</formula>
    </cfRule>
    <cfRule type="expression" dxfId="2495" priority="65">
      <formula>$G29="en cours"</formula>
    </cfRule>
    <cfRule type="expression" dxfId="2494" priority="66">
      <formula>$G29="non compris"</formula>
    </cfRule>
  </conditionalFormatting>
  <conditionalFormatting sqref="C55:F58">
    <cfRule type="expression" dxfId="2493" priority="63">
      <formula>$F55="réalisé"</formula>
    </cfRule>
  </conditionalFormatting>
  <conditionalFormatting sqref="G9">
    <cfRule type="expression" dxfId="2492" priority="62">
      <formula>$G$10="réalisé"</formula>
    </cfRule>
  </conditionalFormatting>
  <conditionalFormatting sqref="G10:G14">
    <cfRule type="expression" dxfId="2491" priority="61">
      <formula>$G$15="réalisé"</formula>
    </cfRule>
  </conditionalFormatting>
  <conditionalFormatting sqref="G20:G21">
    <cfRule type="expression" dxfId="2490" priority="60">
      <formula>$G$22="réalisé"</formula>
    </cfRule>
  </conditionalFormatting>
  <conditionalFormatting sqref="G30">
    <cfRule type="expression" dxfId="2489" priority="59">
      <formula>$G$31="réalisé"</formula>
    </cfRule>
  </conditionalFormatting>
  <conditionalFormatting sqref="D29">
    <cfRule type="expression" dxfId="2488" priority="56">
      <formula>$G29="réalisé"</formula>
    </cfRule>
    <cfRule type="expression" dxfId="2487" priority="57">
      <formula>$G29="en cours"</formula>
    </cfRule>
    <cfRule type="expression" dxfId="2486" priority="58">
      <formula>$G29="non compris"</formula>
    </cfRule>
  </conditionalFormatting>
  <conditionalFormatting sqref="D31">
    <cfRule type="expression" dxfId="2485" priority="53">
      <formula>$G31="réalisé"</formula>
    </cfRule>
    <cfRule type="expression" dxfId="2484" priority="54">
      <formula>$G31="en cours"</formula>
    </cfRule>
    <cfRule type="expression" dxfId="2483" priority="55">
      <formula>$G31="non compris"</formula>
    </cfRule>
  </conditionalFormatting>
  <conditionalFormatting sqref="D33">
    <cfRule type="expression" dxfId="2482" priority="50">
      <formula>$G33="réalisé"</formula>
    </cfRule>
    <cfRule type="expression" dxfId="2481" priority="51">
      <formula>$G33="en cours"</formula>
    </cfRule>
    <cfRule type="expression" dxfId="2480" priority="52">
      <formula>$G33="non compris"</formula>
    </cfRule>
  </conditionalFormatting>
  <conditionalFormatting sqref="D35">
    <cfRule type="expression" dxfId="2479" priority="47">
      <formula>$G35="réalisé"</formula>
    </cfRule>
    <cfRule type="expression" dxfId="2478" priority="48">
      <formula>$G35="en cours"</formula>
    </cfRule>
    <cfRule type="expression" dxfId="2477" priority="49">
      <formula>$G35="non compris"</formula>
    </cfRule>
  </conditionalFormatting>
  <conditionalFormatting sqref="D37">
    <cfRule type="expression" dxfId="2476" priority="44">
      <formula>$G37="réalisé"</formula>
    </cfRule>
    <cfRule type="expression" dxfId="2475" priority="45">
      <formula>$G37="en cours"</formula>
    </cfRule>
    <cfRule type="expression" dxfId="2474" priority="46">
      <formula>$G37="non compris"</formula>
    </cfRule>
  </conditionalFormatting>
  <conditionalFormatting sqref="D39">
    <cfRule type="expression" dxfId="2473" priority="41">
      <formula>$G39="réalisé"</formula>
    </cfRule>
    <cfRule type="expression" dxfId="2472" priority="42">
      <formula>$G39="en cours"</formula>
    </cfRule>
    <cfRule type="expression" dxfId="2471" priority="43">
      <formula>$G39="non compris"</formula>
    </cfRule>
  </conditionalFormatting>
  <conditionalFormatting sqref="D41">
    <cfRule type="expression" dxfId="2470" priority="38">
      <formula>$G41="réalisé"</formula>
    </cfRule>
    <cfRule type="expression" dxfId="2469" priority="39">
      <formula>$G41="en cours"</formula>
    </cfRule>
    <cfRule type="expression" dxfId="2468" priority="40">
      <formula>$G41="non compris"</formula>
    </cfRule>
  </conditionalFormatting>
  <conditionalFormatting sqref="D44:D45">
    <cfRule type="expression" dxfId="2467" priority="35">
      <formula>$G44="réalisé"</formula>
    </cfRule>
    <cfRule type="expression" dxfId="2466" priority="36">
      <formula>$G44="en cours"</formula>
    </cfRule>
    <cfRule type="expression" dxfId="2465" priority="37">
      <formula>$G44="non compris"</formula>
    </cfRule>
  </conditionalFormatting>
  <conditionalFormatting sqref="D30">
    <cfRule type="expression" dxfId="2464" priority="32">
      <formula>$G30="réalisé"</formula>
    </cfRule>
    <cfRule type="expression" dxfId="2463" priority="33">
      <formula>$G30="en cours"</formula>
    </cfRule>
    <cfRule type="expression" dxfId="2462" priority="34">
      <formula>$G30="non compris"</formula>
    </cfRule>
  </conditionalFormatting>
  <conditionalFormatting sqref="D32">
    <cfRule type="expression" dxfId="2461" priority="29">
      <formula>$G32="réalisé"</formula>
    </cfRule>
    <cfRule type="expression" dxfId="2460" priority="30">
      <formula>$G32="en cours"</formula>
    </cfRule>
    <cfRule type="expression" dxfId="2459" priority="31">
      <formula>$G32="non compris"</formula>
    </cfRule>
  </conditionalFormatting>
  <conditionalFormatting sqref="D34">
    <cfRule type="expression" dxfId="2458" priority="26">
      <formula>$G34="réalisé"</formula>
    </cfRule>
    <cfRule type="expression" dxfId="2457" priority="27">
      <formula>$G34="en cours"</formula>
    </cfRule>
    <cfRule type="expression" dxfId="2456" priority="28">
      <formula>$G34="non compris"</formula>
    </cfRule>
  </conditionalFormatting>
  <conditionalFormatting sqref="D36">
    <cfRule type="expression" dxfId="2455" priority="23">
      <formula>$G36="réalisé"</formula>
    </cfRule>
    <cfRule type="expression" dxfId="2454" priority="24">
      <formula>$G36="en cours"</formula>
    </cfRule>
    <cfRule type="expression" dxfId="2453" priority="25">
      <formula>$G36="non compris"</formula>
    </cfRule>
  </conditionalFormatting>
  <conditionalFormatting sqref="D38">
    <cfRule type="expression" dxfId="2452" priority="20">
      <formula>$G38="réalisé"</formula>
    </cfRule>
    <cfRule type="expression" dxfId="2451" priority="21">
      <formula>$G38="en cours"</formula>
    </cfRule>
    <cfRule type="expression" dxfId="2450" priority="22">
      <formula>$G38="non compris"</formula>
    </cfRule>
  </conditionalFormatting>
  <conditionalFormatting sqref="D40">
    <cfRule type="expression" dxfId="2449" priority="17">
      <formula>$G40="réalisé"</formula>
    </cfRule>
    <cfRule type="expression" dxfId="2448" priority="18">
      <formula>$G40="en cours"</formula>
    </cfRule>
    <cfRule type="expression" dxfId="2447" priority="19">
      <formula>$G40="non compris"</formula>
    </cfRule>
  </conditionalFormatting>
  <conditionalFormatting sqref="D42:D43">
    <cfRule type="expression" dxfId="2446" priority="14">
      <formula>$G42="réalisé"</formula>
    </cfRule>
    <cfRule type="expression" dxfId="2445" priority="15">
      <formula>$G42="en cours"</formula>
    </cfRule>
    <cfRule type="expression" dxfId="2444" priority="16">
      <formula>$G42="non compris"</formula>
    </cfRule>
  </conditionalFormatting>
  <conditionalFormatting sqref="D50">
    <cfRule type="expression" dxfId="2443" priority="11">
      <formula>$G50="réalisé"</formula>
    </cfRule>
    <cfRule type="expression" dxfId="2442" priority="12">
      <formula>$G50="en cours"</formula>
    </cfRule>
    <cfRule type="expression" dxfId="2441" priority="13">
      <formula>$G50="non compris"</formula>
    </cfRule>
  </conditionalFormatting>
  <conditionalFormatting sqref="D49">
    <cfRule type="expression" dxfId="2440" priority="8">
      <formula>$G49="réalisé"</formula>
    </cfRule>
    <cfRule type="expression" dxfId="2439" priority="9">
      <formula>$G49="en cours"</formula>
    </cfRule>
    <cfRule type="expression" dxfId="2438" priority="10">
      <formula>$G49="non compris"</formula>
    </cfRule>
  </conditionalFormatting>
  <conditionalFormatting sqref="D48">
    <cfRule type="expression" dxfId="2437" priority="5">
      <formula>$G48="réalisé"</formula>
    </cfRule>
    <cfRule type="expression" dxfId="2436" priority="6">
      <formula>$G48="en cours"</formula>
    </cfRule>
    <cfRule type="expression" dxfId="2435" priority="7">
      <formula>$G48="non compris"</formula>
    </cfRule>
  </conditionalFormatting>
  <conditionalFormatting sqref="D51">
    <cfRule type="expression" dxfId="2434" priority="2">
      <formula>$G51="réalisé"</formula>
    </cfRule>
    <cfRule type="expression" dxfId="2433" priority="3">
      <formula>$G51="en cours"</formula>
    </cfRule>
    <cfRule type="expression" dxfId="2432" priority="4">
      <formula>$G51="non compris"</formula>
    </cfRule>
  </conditionalFormatting>
  <conditionalFormatting sqref="D8:D26">
    <cfRule type="expression" dxfId="2431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8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00B050"/>
    <pageSetUpPr fitToPage="1"/>
  </sheetPr>
  <dimension ref="A1:N74"/>
  <sheetViews>
    <sheetView showWhiteSpace="0" topLeftCell="A7" zoomScaleNormal="100" workbookViewId="0">
      <selection activeCell="B30" sqref="B30"/>
    </sheetView>
  </sheetViews>
  <sheetFormatPr baseColWidth="10" defaultRowHeight="15" x14ac:dyDescent="0.25"/>
  <cols>
    <col min="1" max="1" width="12.7109375" customWidth="1"/>
    <col min="2" max="2" width="11.57031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4.140625" customWidth="1"/>
    <col min="8" max="8" width="28.7109375" customWidth="1"/>
    <col min="9" max="9" width="4.28515625" customWidth="1"/>
  </cols>
  <sheetData>
    <row r="1" spans="1:9" ht="21" x14ac:dyDescent="0.35">
      <c r="A1" s="377" t="s">
        <v>0</v>
      </c>
      <c r="B1" s="378"/>
      <c r="C1" s="378"/>
      <c r="D1" s="378"/>
      <c r="E1" s="378"/>
      <c r="F1" s="378"/>
      <c r="G1" s="378"/>
      <c r="H1" s="1" t="s">
        <v>1</v>
      </c>
      <c r="I1" s="3">
        <f ca="1">INT(MOD(INT((LISTE!D1-2)/7)+0.6,52+5/28))+1</f>
        <v>41</v>
      </c>
    </row>
    <row r="2" spans="1:9" x14ac:dyDescent="0.25">
      <c r="A2" s="390" t="s">
        <v>2</v>
      </c>
      <c r="B2" s="391"/>
      <c r="C2" s="70" t="str">
        <f ca="1">MID(CELL("nomfichier",A1),FIND("]",CELL("nomfichier",A1),1)+1,30)</f>
        <v>KEISER</v>
      </c>
      <c r="D2" s="4" t="s">
        <v>72</v>
      </c>
      <c r="E2" s="379">
        <v>43152</v>
      </c>
      <c r="F2" s="379"/>
      <c r="G2" s="5"/>
      <c r="H2" s="380" t="s">
        <v>143</v>
      </c>
      <c r="I2" s="381"/>
    </row>
    <row r="3" spans="1:9" ht="15.75" x14ac:dyDescent="0.25">
      <c r="A3" s="392" t="s">
        <v>106</v>
      </c>
      <c r="B3" s="384"/>
      <c r="C3" s="6" t="s">
        <v>187</v>
      </c>
      <c r="D3" s="7" t="s">
        <v>3</v>
      </c>
      <c r="E3" s="382">
        <v>43262</v>
      </c>
      <c r="F3" s="383"/>
      <c r="G3" s="8"/>
      <c r="H3" s="384" t="str">
        <f ca="1">DATEDIF(E3,TODAY(),"m")&amp;"mois"&amp;-DATEDIF(E3,TODAY(),"md")&amp;"jours"</f>
        <v>4mois-1jours</v>
      </c>
      <c r="I3" s="385"/>
    </row>
    <row r="4" spans="1:9" ht="18.75" x14ac:dyDescent="0.25">
      <c r="A4" s="69" t="s">
        <v>117</v>
      </c>
      <c r="B4" s="129"/>
      <c r="C4" s="9" t="s">
        <v>119</v>
      </c>
      <c r="D4" s="10" t="s">
        <v>4</v>
      </c>
      <c r="E4" s="386">
        <f>E3+60</f>
        <v>43322</v>
      </c>
      <c r="F4" s="386"/>
      <c r="G4" s="11"/>
      <c r="H4" s="12"/>
      <c r="I4" s="13"/>
    </row>
    <row r="5" spans="1:9" x14ac:dyDescent="0.25">
      <c r="A5" s="393" t="s">
        <v>76</v>
      </c>
      <c r="B5" s="394"/>
      <c r="C5" s="15"/>
      <c r="D5" s="16"/>
      <c r="E5" s="15"/>
      <c r="F5" s="15"/>
      <c r="G5" s="17"/>
      <c r="H5" s="18"/>
      <c r="I5" s="19"/>
    </row>
    <row r="6" spans="1:9" ht="18.75" x14ac:dyDescent="0.3">
      <c r="A6" s="395" t="s">
        <v>75</v>
      </c>
      <c r="B6" s="396"/>
      <c r="C6" s="387" t="s">
        <v>145</v>
      </c>
      <c r="D6" s="388"/>
      <c r="E6" s="388"/>
      <c r="F6" s="388"/>
      <c r="G6" s="388"/>
      <c r="H6" s="389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303"/>
      <c r="B8" s="287"/>
      <c r="C8" s="28" t="s">
        <v>124</v>
      </c>
      <c r="D8" s="52" t="s">
        <v>38</v>
      </c>
      <c r="E8" s="180">
        <v>23</v>
      </c>
      <c r="F8" s="25"/>
      <c r="G8" s="26" t="s">
        <v>36</v>
      </c>
      <c r="H8" s="27"/>
      <c r="I8" s="19"/>
    </row>
    <row r="9" spans="1:9" x14ac:dyDescent="0.25">
      <c r="A9" s="303"/>
      <c r="B9" s="288"/>
      <c r="C9" s="28" t="s">
        <v>131</v>
      </c>
      <c r="D9" s="53" t="str">
        <f>D8</f>
        <v>TEMA</v>
      </c>
      <c r="E9" s="181">
        <f>E8+1</f>
        <v>24</v>
      </c>
      <c r="F9" s="29"/>
      <c r="G9" s="30" t="s">
        <v>36</v>
      </c>
      <c r="H9" s="27"/>
      <c r="I9" s="19"/>
    </row>
    <row r="10" spans="1:9" ht="15" customHeight="1" x14ac:dyDescent="0.25">
      <c r="A10" s="304"/>
      <c r="B10" s="289"/>
      <c r="C10" s="28" t="s">
        <v>132</v>
      </c>
      <c r="D10" s="52" t="str">
        <f>D9</f>
        <v>TEMA</v>
      </c>
      <c r="E10" s="180">
        <f>E9</f>
        <v>24</v>
      </c>
      <c r="F10" s="31"/>
      <c r="G10" s="30" t="s">
        <v>36</v>
      </c>
      <c r="H10" s="27"/>
      <c r="I10" s="19"/>
    </row>
    <row r="11" spans="1:9" ht="15" customHeight="1" x14ac:dyDescent="0.25">
      <c r="A11" s="304"/>
      <c r="B11" s="290"/>
      <c r="C11" s="28" t="s">
        <v>133</v>
      </c>
      <c r="D11" s="54" t="str">
        <f>D8</f>
        <v>TEMA</v>
      </c>
      <c r="E11" s="180">
        <f>E10+1</f>
        <v>25</v>
      </c>
      <c r="F11" s="31"/>
      <c r="G11" s="30" t="s">
        <v>36</v>
      </c>
      <c r="H11" s="27"/>
      <c r="I11" s="19"/>
    </row>
    <row r="12" spans="1:9" ht="15" customHeight="1" x14ac:dyDescent="0.25">
      <c r="A12" s="305">
        <v>16602.25</v>
      </c>
      <c r="B12" s="291">
        <f>A12-8299.33-8299.32-3.6</f>
        <v>3.6370906286720128E-13</v>
      </c>
      <c r="C12" s="28" t="s">
        <v>134</v>
      </c>
      <c r="D12" s="54" t="str">
        <f t="shared" ref="D12:D14" si="0">D9</f>
        <v>TEMA</v>
      </c>
      <c r="E12" s="180">
        <f>E11+2</f>
        <v>27</v>
      </c>
      <c r="F12" s="31"/>
      <c r="G12" s="30" t="s">
        <v>36</v>
      </c>
      <c r="H12" s="27"/>
      <c r="I12" s="19"/>
    </row>
    <row r="13" spans="1:9" ht="15" customHeight="1" x14ac:dyDescent="0.25">
      <c r="A13" s="304"/>
      <c r="B13" s="290"/>
      <c r="C13" s="28" t="s">
        <v>135</v>
      </c>
      <c r="D13" s="54" t="str">
        <f t="shared" si="0"/>
        <v>TEMA</v>
      </c>
      <c r="E13" s="180">
        <f>E12+1</f>
        <v>28</v>
      </c>
      <c r="F13" s="31"/>
      <c r="G13" s="30" t="s">
        <v>36</v>
      </c>
      <c r="H13" s="27"/>
      <c r="I13" s="19"/>
    </row>
    <row r="14" spans="1:9" ht="15" customHeight="1" x14ac:dyDescent="0.25">
      <c r="A14" s="304"/>
      <c r="B14" s="290"/>
      <c r="C14" s="28" t="s">
        <v>136</v>
      </c>
      <c r="D14" s="54" t="str">
        <f t="shared" si="0"/>
        <v>TEMA</v>
      </c>
      <c r="E14" s="180">
        <f>E13</f>
        <v>28</v>
      </c>
      <c r="F14" s="31"/>
      <c r="G14" s="30" t="s">
        <v>70</v>
      </c>
      <c r="H14" s="27"/>
      <c r="I14" s="19"/>
    </row>
    <row r="15" spans="1:9" x14ac:dyDescent="0.25">
      <c r="A15" s="304"/>
      <c r="B15" s="290"/>
      <c r="C15" s="28" t="s">
        <v>62</v>
      </c>
      <c r="D15" s="53" t="s">
        <v>64</v>
      </c>
      <c r="E15" s="24">
        <f>E10+4</f>
        <v>28</v>
      </c>
      <c r="F15" s="29"/>
      <c r="G15" s="30" t="s">
        <v>70</v>
      </c>
      <c r="H15" s="27"/>
      <c r="I15" s="19"/>
    </row>
    <row r="16" spans="1:9" x14ac:dyDescent="0.25">
      <c r="A16" s="304"/>
      <c r="B16" s="290"/>
      <c r="C16" s="28" t="s">
        <v>10</v>
      </c>
      <c r="D16" s="52" t="s">
        <v>64</v>
      </c>
      <c r="E16" s="24">
        <f>E10+1</f>
        <v>25</v>
      </c>
      <c r="F16" s="29"/>
      <c r="G16" s="30" t="s">
        <v>70</v>
      </c>
      <c r="H16" s="27"/>
      <c r="I16" s="19"/>
    </row>
    <row r="17" spans="1:14" x14ac:dyDescent="0.25">
      <c r="A17" s="310"/>
      <c r="B17" s="290"/>
      <c r="C17" s="28" t="s">
        <v>11</v>
      </c>
      <c r="D17" s="53" t="s">
        <v>189</v>
      </c>
      <c r="E17" s="24">
        <v>34</v>
      </c>
      <c r="F17" s="280">
        <v>43334</v>
      </c>
      <c r="G17" s="30" t="s">
        <v>36</v>
      </c>
      <c r="H17" s="27"/>
      <c r="I17" s="19"/>
    </row>
    <row r="18" spans="1:14" x14ac:dyDescent="0.25">
      <c r="A18" s="305">
        <v>843.49</v>
      </c>
      <c r="B18" s="291">
        <f>A18-843.43</f>
        <v>6.0000000000059117E-2</v>
      </c>
      <c r="C18" s="28" t="s">
        <v>12</v>
      </c>
      <c r="D18" s="52" t="s">
        <v>40</v>
      </c>
      <c r="E18" s="180">
        <v>36</v>
      </c>
      <c r="F18" s="29"/>
      <c r="G18" s="30" t="s">
        <v>36</v>
      </c>
      <c r="H18" s="27"/>
      <c r="I18" s="19"/>
    </row>
    <row r="19" spans="1:14" x14ac:dyDescent="0.25">
      <c r="A19" s="304"/>
      <c r="B19" s="290"/>
      <c r="C19" s="28" t="s">
        <v>73</v>
      </c>
      <c r="D19" s="53" t="str">
        <f>D10</f>
        <v>TEMA</v>
      </c>
      <c r="E19" s="24">
        <v>38</v>
      </c>
      <c r="F19" s="29"/>
      <c r="G19" s="30" t="s">
        <v>36</v>
      </c>
      <c r="H19" s="27"/>
      <c r="I19" s="19"/>
    </row>
    <row r="20" spans="1:14" x14ac:dyDescent="0.25">
      <c r="A20" s="301">
        <v>1043.9000000000001</v>
      </c>
      <c r="B20" s="291">
        <f>A20-1043.9</f>
        <v>0</v>
      </c>
      <c r="C20" s="28" t="s">
        <v>59</v>
      </c>
      <c r="D20" s="52" t="s">
        <v>42</v>
      </c>
      <c r="E20" s="24">
        <v>39</v>
      </c>
      <c r="F20" s="29"/>
      <c r="G20" s="30" t="s">
        <v>36</v>
      </c>
      <c r="H20" s="27"/>
      <c r="I20" s="19"/>
      <c r="N20" s="281"/>
    </row>
    <row r="21" spans="1:14" x14ac:dyDescent="0.25">
      <c r="A21" s="301">
        <v>815.35</v>
      </c>
      <c r="B21" s="291">
        <f>A21-815.35</f>
        <v>0</v>
      </c>
      <c r="C21" s="28" t="s">
        <v>60</v>
      </c>
      <c r="D21" s="54" t="s">
        <v>42</v>
      </c>
      <c r="E21" s="24">
        <f>E20</f>
        <v>39</v>
      </c>
      <c r="F21" s="29"/>
      <c r="G21" s="30" t="s">
        <v>36</v>
      </c>
      <c r="H21" s="50"/>
      <c r="I21" s="19"/>
    </row>
    <row r="22" spans="1:14" x14ac:dyDescent="0.25">
      <c r="A22" s="304"/>
      <c r="B22" s="290"/>
      <c r="C22" s="167" t="s">
        <v>13</v>
      </c>
      <c r="D22" s="168" t="s">
        <v>42</v>
      </c>
      <c r="E22" s="169">
        <f>E20</f>
        <v>39</v>
      </c>
      <c r="F22" s="170"/>
      <c r="G22" s="171" t="s">
        <v>36</v>
      </c>
      <c r="H22" s="172"/>
      <c r="I22" s="19"/>
    </row>
    <row r="23" spans="1:14" x14ac:dyDescent="0.25">
      <c r="A23" s="291"/>
      <c r="B23" s="291">
        <f>A23</f>
        <v>0</v>
      </c>
      <c r="C23" s="32" t="s">
        <v>138</v>
      </c>
      <c r="D23" s="52" t="s">
        <v>64</v>
      </c>
      <c r="E23" s="24">
        <v>43</v>
      </c>
      <c r="F23" s="29"/>
      <c r="G23" s="30" t="s">
        <v>71</v>
      </c>
      <c r="H23" s="27"/>
      <c r="I23" s="19"/>
    </row>
    <row r="24" spans="1:14" x14ac:dyDescent="0.25">
      <c r="A24" s="304"/>
      <c r="B24" s="290"/>
      <c r="C24" s="28" t="s">
        <v>14</v>
      </c>
      <c r="D24" s="53" t="str">
        <f>D17</f>
        <v>EURO ECHAFAUDAGE</v>
      </c>
      <c r="E24" s="24">
        <f>IF(E20="","",MOD(E20+2,52))</f>
        <v>41</v>
      </c>
      <c r="F24" s="29"/>
      <c r="G24" s="30" t="s">
        <v>36</v>
      </c>
      <c r="H24" s="27"/>
      <c r="I24" s="19"/>
    </row>
    <row r="25" spans="1:14" x14ac:dyDescent="0.25">
      <c r="A25" s="291"/>
      <c r="B25" s="291">
        <f>A25</f>
        <v>0</v>
      </c>
      <c r="C25" s="183" t="s">
        <v>137</v>
      </c>
      <c r="D25" s="53" t="s">
        <v>56</v>
      </c>
      <c r="E25" s="24">
        <v>43</v>
      </c>
      <c r="F25" s="29"/>
      <c r="G25" s="72" t="s">
        <v>9</v>
      </c>
      <c r="H25" s="27"/>
      <c r="I25" s="19"/>
    </row>
    <row r="26" spans="1:14" x14ac:dyDescent="0.25">
      <c r="A26" s="304"/>
      <c r="B26" s="290"/>
      <c r="C26" s="191"/>
      <c r="D26" s="150"/>
      <c r="E26" s="192"/>
      <c r="F26" s="73"/>
      <c r="G26" s="73"/>
      <c r="H26" s="151"/>
      <c r="I26" s="19"/>
    </row>
    <row r="27" spans="1:14" ht="18.75" x14ac:dyDescent="0.3">
      <c r="A27" s="308"/>
      <c r="B27" s="292"/>
      <c r="C27" s="387" t="s">
        <v>144</v>
      </c>
      <c r="D27" s="388"/>
      <c r="E27" s="388"/>
      <c r="F27" s="388"/>
      <c r="G27" s="388"/>
      <c r="H27" s="389"/>
      <c r="I27" s="19"/>
    </row>
    <row r="28" spans="1:14" ht="15.75" thickBot="1" x14ac:dyDescent="0.3">
      <c r="A28" s="304"/>
      <c r="B28" s="290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14" x14ac:dyDescent="0.25">
      <c r="A29" s="305">
        <v>995.22</v>
      </c>
      <c r="B29" s="291">
        <f>A29-995.22</f>
        <v>0</v>
      </c>
      <c r="C29" s="78" t="s">
        <v>66</v>
      </c>
      <c r="D29" s="52" t="s">
        <v>90</v>
      </c>
      <c r="E29" s="79">
        <v>43</v>
      </c>
      <c r="F29" s="25"/>
      <c r="G29" s="26" t="s">
        <v>36</v>
      </c>
      <c r="H29" s="27"/>
      <c r="I29" s="19"/>
    </row>
    <row r="30" spans="1:14" x14ac:dyDescent="0.25">
      <c r="A30" s="305">
        <v>1668.4</v>
      </c>
      <c r="B30" s="291">
        <f>A30</f>
        <v>1668.4</v>
      </c>
      <c r="C30" s="28" t="s">
        <v>67</v>
      </c>
      <c r="D30" s="53" t="s">
        <v>47</v>
      </c>
      <c r="E30" s="24">
        <f>IF(E29="","",MOD(E29+1,52))</f>
        <v>44</v>
      </c>
      <c r="F30" s="29"/>
      <c r="G30" s="30"/>
      <c r="H30" s="27"/>
      <c r="I30" s="19"/>
    </row>
    <row r="31" spans="1:14" x14ac:dyDescent="0.25">
      <c r="A31" s="304"/>
      <c r="B31" s="290"/>
      <c r="C31" s="62" t="s">
        <v>16</v>
      </c>
      <c r="D31" s="52" t="str">
        <f>D29</f>
        <v>ELECTRO HECKER</v>
      </c>
      <c r="E31" s="24">
        <f>IF(E30="","",MOD(E30+2,52))</f>
        <v>46</v>
      </c>
      <c r="F31" s="29"/>
      <c r="G31" s="30"/>
      <c r="H31" s="27"/>
      <c r="I31" s="19"/>
    </row>
    <row r="32" spans="1:14" x14ac:dyDescent="0.25">
      <c r="A32" s="305">
        <v>480</v>
      </c>
      <c r="B32" s="291">
        <f>A32</f>
        <v>480</v>
      </c>
      <c r="C32" s="80" t="s">
        <v>17</v>
      </c>
      <c r="D32" s="53" t="s">
        <v>51</v>
      </c>
      <c r="E32" s="24">
        <f>IF(E30="","",MOD(E30+2,52))</f>
        <v>46</v>
      </c>
      <c r="F32" s="29"/>
      <c r="G32" s="30"/>
      <c r="H32" s="27"/>
      <c r="I32" s="19"/>
    </row>
    <row r="33" spans="1:9" x14ac:dyDescent="0.25">
      <c r="A33" s="291"/>
      <c r="B33" s="291"/>
      <c r="C33" s="62" t="s">
        <v>140</v>
      </c>
      <c r="D33" s="52" t="s">
        <v>167</v>
      </c>
      <c r="E33" s="24">
        <f>IF(E32="","",MOD(E32+1,52))</f>
        <v>47</v>
      </c>
      <c r="F33" s="29"/>
      <c r="G33" s="30"/>
      <c r="H33" s="27"/>
      <c r="I33" s="19"/>
    </row>
    <row r="34" spans="1:9" x14ac:dyDescent="0.25">
      <c r="A34" s="291"/>
      <c r="B34" s="291">
        <f>A34</f>
        <v>0</v>
      </c>
      <c r="C34" s="28" t="s">
        <v>141</v>
      </c>
      <c r="D34" s="53" t="s">
        <v>167</v>
      </c>
      <c r="E34" s="24">
        <f>IF(E32="","",MOD(E32+1,52))</f>
        <v>47</v>
      </c>
      <c r="F34" s="29"/>
      <c r="G34" s="30"/>
      <c r="H34" s="27"/>
      <c r="I34" s="19"/>
    </row>
    <row r="35" spans="1:9" x14ac:dyDescent="0.25">
      <c r="A35" s="304"/>
      <c r="B35" s="290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311"/>
      <c r="B36" s="291">
        <f>A36</f>
        <v>0</v>
      </c>
      <c r="C36" s="28" t="s">
        <v>19</v>
      </c>
      <c r="D36" s="53" t="s">
        <v>53</v>
      </c>
      <c r="E36" s="24">
        <f>IF(E34="","",MOD(E34+1,52))</f>
        <v>48</v>
      </c>
      <c r="F36" s="29"/>
      <c r="G36" s="30"/>
      <c r="H36" s="27"/>
      <c r="I36" s="19"/>
    </row>
    <row r="37" spans="1:9" x14ac:dyDescent="0.25">
      <c r="A37" s="310"/>
      <c r="B37" s="290"/>
      <c r="C37" s="28" t="s">
        <v>20</v>
      </c>
      <c r="D37" s="52" t="str">
        <f>D30</f>
        <v>SOARES</v>
      </c>
      <c r="E37" s="24">
        <f>IF(E36="","",MOD(E36+1,52))</f>
        <v>49</v>
      </c>
      <c r="F37" s="29"/>
      <c r="G37" s="30"/>
      <c r="H37" s="27"/>
      <c r="I37" s="19"/>
    </row>
    <row r="38" spans="1:9" x14ac:dyDescent="0.25">
      <c r="A38" s="310"/>
      <c r="B38" s="290"/>
      <c r="C38" s="28" t="s">
        <v>21</v>
      </c>
      <c r="D38" s="53" t="str">
        <f>D29</f>
        <v>ELECTRO HECKER</v>
      </c>
      <c r="E38" s="24">
        <f>IF(E37="","",MOD(E37+1,52))</f>
        <v>50</v>
      </c>
      <c r="F38" s="29"/>
      <c r="G38" s="30" t="s">
        <v>9</v>
      </c>
      <c r="H38" s="27"/>
      <c r="I38" s="19"/>
    </row>
    <row r="39" spans="1:9" x14ac:dyDescent="0.25">
      <c r="A39" s="310"/>
      <c r="B39" s="290"/>
      <c r="C39" s="28" t="s">
        <v>22</v>
      </c>
      <c r="D39" s="52" t="str">
        <f>D32</f>
        <v>EKOTHERM</v>
      </c>
      <c r="E39" s="24">
        <f>IF(E37="","",MOD(E37+1,52))</f>
        <v>50</v>
      </c>
      <c r="F39" s="29"/>
      <c r="G39" s="30"/>
      <c r="H39" s="27"/>
      <c r="I39" s="19"/>
    </row>
    <row r="40" spans="1:9" x14ac:dyDescent="0.25">
      <c r="A40" s="310"/>
      <c r="B40" s="290"/>
      <c r="C40" s="28" t="s">
        <v>23</v>
      </c>
      <c r="D40" s="53" t="s">
        <v>53</v>
      </c>
      <c r="E40" s="24">
        <f>E36+4</f>
        <v>52</v>
      </c>
      <c r="F40" s="29"/>
      <c r="G40" s="30" t="s">
        <v>9</v>
      </c>
      <c r="H40" s="27"/>
      <c r="I40" s="19"/>
    </row>
    <row r="41" spans="1:9" x14ac:dyDescent="0.25">
      <c r="A41" s="310"/>
      <c r="B41" s="290"/>
      <c r="C41" s="28" t="s">
        <v>24</v>
      </c>
      <c r="D41" s="52" t="s">
        <v>64</v>
      </c>
      <c r="E41" s="24">
        <f>E39+1</f>
        <v>51</v>
      </c>
      <c r="F41" s="29"/>
      <c r="G41" s="30" t="s">
        <v>70</v>
      </c>
      <c r="H41" s="27"/>
      <c r="I41" s="19"/>
    </row>
    <row r="42" spans="1:9" x14ac:dyDescent="0.25">
      <c r="A42" s="310"/>
      <c r="B42" s="290"/>
      <c r="C42" s="28" t="s">
        <v>25</v>
      </c>
      <c r="D42" s="53" t="str">
        <f>D34</f>
        <v>OTEC</v>
      </c>
      <c r="E42" s="24">
        <f>IF(E40="","",MOD(E40+2,52))</f>
        <v>2</v>
      </c>
      <c r="F42" s="29"/>
      <c r="G42" s="30"/>
      <c r="H42" s="27"/>
      <c r="I42" s="19"/>
    </row>
    <row r="43" spans="1:9" x14ac:dyDescent="0.25">
      <c r="A43" s="311"/>
      <c r="B43" s="291">
        <f>A43</f>
        <v>0</v>
      </c>
      <c r="C43" s="81" t="s">
        <v>147</v>
      </c>
      <c r="D43" s="52" t="str">
        <f>D44</f>
        <v>EURO-PORTES</v>
      </c>
      <c r="E43" s="82">
        <f>E44</f>
        <v>2</v>
      </c>
      <c r="F43" s="83"/>
      <c r="G43" s="72"/>
      <c r="H43" s="27"/>
      <c r="I43" s="19"/>
    </row>
    <row r="44" spans="1:9" x14ac:dyDescent="0.25">
      <c r="A44" s="311"/>
      <c r="B44" s="291">
        <f>A44</f>
        <v>0</v>
      </c>
      <c r="C44" s="81" t="s">
        <v>139</v>
      </c>
      <c r="D44" s="193" t="s">
        <v>196</v>
      </c>
      <c r="E44" s="82">
        <f>IF(E40="","",MOD(E40+2,52))</f>
        <v>2</v>
      </c>
      <c r="F44" s="83"/>
      <c r="G44" s="72"/>
      <c r="H44" s="194"/>
      <c r="I44" s="19"/>
    </row>
    <row r="45" spans="1:9" x14ac:dyDescent="0.25">
      <c r="A45" s="310"/>
      <c r="B45" s="290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312"/>
      <c r="B46" s="292"/>
      <c r="C46" s="387" t="s">
        <v>146</v>
      </c>
      <c r="D46" s="388"/>
      <c r="E46" s="388"/>
      <c r="F46" s="388"/>
      <c r="G46" s="388"/>
      <c r="H46" s="389"/>
      <c r="I46" s="19"/>
    </row>
    <row r="47" spans="1:9" ht="15.75" thickBot="1" x14ac:dyDescent="0.3">
      <c r="A47" s="310"/>
      <c r="B47" s="293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311"/>
      <c r="B48" s="291">
        <f>A48</f>
        <v>0</v>
      </c>
      <c r="C48" s="88" t="s">
        <v>26</v>
      </c>
      <c r="D48" s="52" t="s">
        <v>57</v>
      </c>
      <c r="E48" s="89">
        <f>E32+1</f>
        <v>47</v>
      </c>
      <c r="F48" s="25"/>
      <c r="G48" s="26"/>
      <c r="H48" s="27"/>
      <c r="I48" s="19"/>
    </row>
    <row r="49" spans="1:9" x14ac:dyDescent="0.25">
      <c r="A49" s="309"/>
      <c r="B49" s="294"/>
      <c r="C49" s="102" t="s">
        <v>69</v>
      </c>
      <c r="D49" s="103" t="s">
        <v>64</v>
      </c>
      <c r="E49" s="104">
        <f>E48</f>
        <v>47</v>
      </c>
      <c r="F49" s="105"/>
      <c r="G49" s="106" t="s">
        <v>70</v>
      </c>
      <c r="H49" s="27"/>
      <c r="I49" s="19"/>
    </row>
    <row r="50" spans="1:9" x14ac:dyDescent="0.25">
      <c r="A50" s="309"/>
      <c r="B50" s="294"/>
      <c r="C50" s="92" t="s">
        <v>61</v>
      </c>
      <c r="D50" s="99" t="s">
        <v>68</v>
      </c>
      <c r="E50" s="101">
        <f>E48+1</f>
        <v>48</v>
      </c>
      <c r="F50" s="95"/>
      <c r="G50" s="96" t="s">
        <v>9</v>
      </c>
      <c r="H50" s="97"/>
      <c r="I50" s="19"/>
    </row>
    <row r="51" spans="1:9" x14ac:dyDescent="0.25">
      <c r="A51" s="309">
        <f>SUM(A12:A50)</f>
        <v>22448.610000000004</v>
      </c>
      <c r="B51" s="309">
        <f>SUM(B12:B50)</f>
        <v>2148.4600000000005</v>
      </c>
      <c r="C51" s="91" t="s">
        <v>27</v>
      </c>
      <c r="D51" s="52" t="str">
        <f>D48</f>
        <v>TASTEPER</v>
      </c>
      <c r="E51" s="90">
        <f>E48+3</f>
        <v>50</v>
      </c>
      <c r="F51" s="29"/>
      <c r="G51" s="72"/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7" t="s">
        <v>142</v>
      </c>
      <c r="I54" s="19"/>
    </row>
    <row r="55" spans="1:9" x14ac:dyDescent="0.25">
      <c r="A55" s="42"/>
      <c r="B55" s="126"/>
      <c r="C55" s="43" t="s">
        <v>122</v>
      </c>
      <c r="D55" s="107">
        <v>43137</v>
      </c>
      <c r="E55" s="44"/>
      <c r="F55" s="45" t="s">
        <v>109</v>
      </c>
      <c r="G55" s="18"/>
      <c r="H55" s="398"/>
      <c r="I55" s="19"/>
    </row>
    <row r="56" spans="1:9" x14ac:dyDescent="0.25">
      <c r="A56" s="42"/>
      <c r="B56" s="126"/>
      <c r="C56" s="33" t="s">
        <v>123</v>
      </c>
      <c r="D56" s="49">
        <v>43208</v>
      </c>
      <c r="E56" s="46"/>
      <c r="F56" s="2" t="s">
        <v>109</v>
      </c>
      <c r="G56" s="18"/>
      <c r="H56" s="399" t="str">
        <f>DATEDIF(E3,D58,"m")&amp;"mois"&amp;DATEDIF(E3,D58,"md")&amp;"jours"</f>
        <v>1mois17jours</v>
      </c>
      <c r="I56" s="19"/>
    </row>
    <row r="57" spans="1:9" ht="15.75" thickBot="1" x14ac:dyDescent="0.3">
      <c r="A57" s="42"/>
      <c r="B57" s="126"/>
      <c r="C57" s="33" t="s">
        <v>31</v>
      </c>
      <c r="D57" s="49">
        <v>43281</v>
      </c>
      <c r="E57" s="46"/>
      <c r="F57" s="2" t="s">
        <v>188</v>
      </c>
      <c r="G57" s="18"/>
      <c r="H57" s="400"/>
      <c r="I57" s="19"/>
    </row>
    <row r="58" spans="1:9" x14ac:dyDescent="0.25">
      <c r="A58" s="42"/>
      <c r="B58" s="126"/>
      <c r="C58" s="47" t="s">
        <v>32</v>
      </c>
      <c r="D58" s="184">
        <v>43309</v>
      </c>
      <c r="E58" s="14"/>
      <c r="F58" s="15" t="s">
        <v>188</v>
      </c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1"/>
      <c r="D60" s="371"/>
      <c r="E60" s="371"/>
      <c r="F60" s="371"/>
      <c r="G60" s="371"/>
      <c r="H60" s="371"/>
      <c r="I60" s="372"/>
    </row>
    <row r="61" spans="1:9" x14ac:dyDescent="0.25">
      <c r="A61" s="34"/>
      <c r="B61" s="18"/>
      <c r="C61" s="373"/>
      <c r="D61" s="373"/>
      <c r="E61" s="373"/>
      <c r="F61" s="373"/>
      <c r="G61" s="373"/>
      <c r="H61" s="373"/>
      <c r="I61" s="374"/>
    </row>
    <row r="62" spans="1:9" x14ac:dyDescent="0.25">
      <c r="A62" s="34"/>
      <c r="B62" s="18"/>
      <c r="C62" s="373"/>
      <c r="D62" s="373"/>
      <c r="E62" s="373"/>
      <c r="F62" s="373"/>
      <c r="G62" s="373"/>
      <c r="H62" s="373"/>
      <c r="I62" s="374"/>
    </row>
    <row r="63" spans="1:9" x14ac:dyDescent="0.25">
      <c r="A63" s="34"/>
      <c r="B63" s="18"/>
      <c r="C63" s="373"/>
      <c r="D63" s="373"/>
      <c r="E63" s="373"/>
      <c r="F63" s="373"/>
      <c r="G63" s="373"/>
      <c r="H63" s="373"/>
      <c r="I63" s="374"/>
    </row>
    <row r="64" spans="1:9" x14ac:dyDescent="0.25">
      <c r="A64" s="34"/>
      <c r="B64" s="18"/>
      <c r="C64" s="373"/>
      <c r="D64" s="373"/>
      <c r="E64" s="373"/>
      <c r="F64" s="373"/>
      <c r="G64" s="373"/>
      <c r="H64" s="373"/>
      <c r="I64" s="374"/>
    </row>
    <row r="65" spans="1:9" x14ac:dyDescent="0.25">
      <c r="A65" s="44"/>
      <c r="B65" s="45"/>
      <c r="C65" s="375"/>
      <c r="D65" s="375"/>
      <c r="E65" s="375"/>
      <c r="F65" s="375"/>
      <c r="G65" s="375"/>
      <c r="H65" s="375"/>
      <c r="I65" s="376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H54:H55"/>
    <mergeCell ref="H56:H57"/>
    <mergeCell ref="C60:I65"/>
    <mergeCell ref="E4:F4"/>
    <mergeCell ref="A5:B5"/>
    <mergeCell ref="A6:B6"/>
    <mergeCell ref="C6:H6"/>
    <mergeCell ref="C27:H27"/>
    <mergeCell ref="C46:H46"/>
    <mergeCell ref="A1:G1"/>
    <mergeCell ref="A2:B2"/>
    <mergeCell ref="E2:F2"/>
    <mergeCell ref="H2:I2"/>
    <mergeCell ref="A3:B3"/>
    <mergeCell ref="E3:F3"/>
    <mergeCell ref="H3:I3"/>
  </mergeCells>
  <conditionalFormatting sqref="C52:G52">
    <cfRule type="expression" dxfId="2388" priority="70">
      <formula>$F52="réalisé"</formula>
    </cfRule>
  </conditionalFormatting>
  <conditionalFormatting sqref="C48:C51 E48:H51 E29:H45 C8:H26">
    <cfRule type="expression" dxfId="2387" priority="67">
      <formula>$G8="réalisé"</formula>
    </cfRule>
    <cfRule type="expression" dxfId="2386" priority="68">
      <formula>$G8="en cours"</formula>
    </cfRule>
    <cfRule type="expression" dxfId="2385" priority="69">
      <formula>$G8="non compris"</formula>
    </cfRule>
  </conditionalFormatting>
  <conditionalFormatting sqref="C29:C45">
    <cfRule type="expression" dxfId="2384" priority="64">
      <formula>$G29="réalisé"</formula>
    </cfRule>
    <cfRule type="expression" dxfId="2383" priority="65">
      <formula>$G29="en cours"</formula>
    </cfRule>
    <cfRule type="expression" dxfId="2382" priority="66">
      <formula>$G29="non compris"</formula>
    </cfRule>
  </conditionalFormatting>
  <conditionalFormatting sqref="C55:F58">
    <cfRule type="expression" dxfId="2381" priority="63">
      <formula>$F55="réalisé"</formula>
    </cfRule>
  </conditionalFormatting>
  <conditionalFormatting sqref="G9">
    <cfRule type="expression" dxfId="2380" priority="62">
      <formula>$G$10="réalisé"</formula>
    </cfRule>
  </conditionalFormatting>
  <conditionalFormatting sqref="G10:G14">
    <cfRule type="expression" dxfId="2379" priority="61">
      <formula>$G$15="réalisé"</formula>
    </cfRule>
  </conditionalFormatting>
  <conditionalFormatting sqref="G20:G21">
    <cfRule type="expression" dxfId="2378" priority="60">
      <formula>$G$22="réalisé"</formula>
    </cfRule>
  </conditionalFormatting>
  <conditionalFormatting sqref="G30">
    <cfRule type="expression" dxfId="2377" priority="59">
      <formula>$G$31="réalisé"</formula>
    </cfRule>
  </conditionalFormatting>
  <conditionalFormatting sqref="D29">
    <cfRule type="expression" dxfId="2376" priority="56">
      <formula>$G29="réalisé"</formula>
    </cfRule>
    <cfRule type="expression" dxfId="2375" priority="57">
      <formula>$G29="en cours"</formula>
    </cfRule>
    <cfRule type="expression" dxfId="2374" priority="58">
      <formula>$G29="non compris"</formula>
    </cfRule>
  </conditionalFormatting>
  <conditionalFormatting sqref="D31">
    <cfRule type="expression" dxfId="2373" priority="53">
      <formula>$G31="réalisé"</formula>
    </cfRule>
    <cfRule type="expression" dxfId="2372" priority="54">
      <formula>$G31="en cours"</formula>
    </cfRule>
    <cfRule type="expression" dxfId="2371" priority="55">
      <formula>$G31="non compris"</formula>
    </cfRule>
  </conditionalFormatting>
  <conditionalFormatting sqref="D33">
    <cfRule type="expression" dxfId="2370" priority="50">
      <formula>$G33="réalisé"</formula>
    </cfRule>
    <cfRule type="expression" dxfId="2369" priority="51">
      <formula>$G33="en cours"</formula>
    </cfRule>
    <cfRule type="expression" dxfId="2368" priority="52">
      <formula>$G33="non compris"</formula>
    </cfRule>
  </conditionalFormatting>
  <conditionalFormatting sqref="D35">
    <cfRule type="expression" dxfId="2367" priority="47">
      <formula>$G35="réalisé"</formula>
    </cfRule>
    <cfRule type="expression" dxfId="2366" priority="48">
      <formula>$G35="en cours"</formula>
    </cfRule>
    <cfRule type="expression" dxfId="2365" priority="49">
      <formula>$G35="non compris"</formula>
    </cfRule>
  </conditionalFormatting>
  <conditionalFormatting sqref="D37">
    <cfRule type="expression" dxfId="2364" priority="44">
      <formula>$G37="réalisé"</formula>
    </cfRule>
    <cfRule type="expression" dxfId="2363" priority="45">
      <formula>$G37="en cours"</formula>
    </cfRule>
    <cfRule type="expression" dxfId="2362" priority="46">
      <formula>$G37="non compris"</formula>
    </cfRule>
  </conditionalFormatting>
  <conditionalFormatting sqref="D39">
    <cfRule type="expression" dxfId="2361" priority="41">
      <formula>$G39="réalisé"</formula>
    </cfRule>
    <cfRule type="expression" dxfId="2360" priority="42">
      <formula>$G39="en cours"</formula>
    </cfRule>
    <cfRule type="expression" dxfId="2359" priority="43">
      <formula>$G39="non compris"</formula>
    </cfRule>
  </conditionalFormatting>
  <conditionalFormatting sqref="D41">
    <cfRule type="expression" dxfId="2358" priority="38">
      <formula>$G41="réalisé"</formula>
    </cfRule>
    <cfRule type="expression" dxfId="2357" priority="39">
      <formula>$G41="en cours"</formula>
    </cfRule>
    <cfRule type="expression" dxfId="2356" priority="40">
      <formula>$G41="non compris"</formula>
    </cfRule>
  </conditionalFormatting>
  <conditionalFormatting sqref="D44:D45">
    <cfRule type="expression" dxfId="2355" priority="35">
      <formula>$G44="réalisé"</formula>
    </cfRule>
    <cfRule type="expression" dxfId="2354" priority="36">
      <formula>$G44="en cours"</formula>
    </cfRule>
    <cfRule type="expression" dxfId="2353" priority="37">
      <formula>$G44="non compris"</formula>
    </cfRule>
  </conditionalFormatting>
  <conditionalFormatting sqref="D30">
    <cfRule type="expression" dxfId="2352" priority="32">
      <formula>$G30="réalisé"</formula>
    </cfRule>
    <cfRule type="expression" dxfId="2351" priority="33">
      <formula>$G30="en cours"</formula>
    </cfRule>
    <cfRule type="expression" dxfId="2350" priority="34">
      <formula>$G30="non compris"</formula>
    </cfRule>
  </conditionalFormatting>
  <conditionalFormatting sqref="D32">
    <cfRule type="expression" dxfId="2349" priority="29">
      <formula>$G32="réalisé"</formula>
    </cfRule>
    <cfRule type="expression" dxfId="2348" priority="30">
      <formula>$G32="en cours"</formula>
    </cfRule>
    <cfRule type="expression" dxfId="2347" priority="31">
      <formula>$G32="non compris"</formula>
    </cfRule>
  </conditionalFormatting>
  <conditionalFormatting sqref="D34">
    <cfRule type="expression" dxfId="2346" priority="26">
      <formula>$G34="réalisé"</formula>
    </cfRule>
    <cfRule type="expression" dxfId="2345" priority="27">
      <formula>$G34="en cours"</formula>
    </cfRule>
    <cfRule type="expression" dxfId="2344" priority="28">
      <formula>$G34="non compris"</formula>
    </cfRule>
  </conditionalFormatting>
  <conditionalFormatting sqref="D36">
    <cfRule type="expression" dxfId="2343" priority="23">
      <formula>$G36="réalisé"</formula>
    </cfRule>
    <cfRule type="expression" dxfId="2342" priority="24">
      <formula>$G36="en cours"</formula>
    </cfRule>
    <cfRule type="expression" dxfId="2341" priority="25">
      <formula>$G36="non compris"</formula>
    </cfRule>
  </conditionalFormatting>
  <conditionalFormatting sqref="D38">
    <cfRule type="expression" dxfId="2340" priority="20">
      <formula>$G38="réalisé"</formula>
    </cfRule>
    <cfRule type="expression" dxfId="2339" priority="21">
      <formula>$G38="en cours"</formula>
    </cfRule>
    <cfRule type="expression" dxfId="2338" priority="22">
      <formula>$G38="non compris"</formula>
    </cfRule>
  </conditionalFormatting>
  <conditionalFormatting sqref="D40">
    <cfRule type="expression" dxfId="2337" priority="17">
      <formula>$G40="réalisé"</formula>
    </cfRule>
    <cfRule type="expression" dxfId="2336" priority="18">
      <formula>$G40="en cours"</formula>
    </cfRule>
    <cfRule type="expression" dxfId="2335" priority="19">
      <formula>$G40="non compris"</formula>
    </cfRule>
  </conditionalFormatting>
  <conditionalFormatting sqref="D42:D43">
    <cfRule type="expression" dxfId="2334" priority="14">
      <formula>$G42="réalisé"</formula>
    </cfRule>
    <cfRule type="expression" dxfId="2333" priority="15">
      <formula>$G42="en cours"</formula>
    </cfRule>
    <cfRule type="expression" dxfId="2332" priority="16">
      <formula>$G42="non compris"</formula>
    </cfRule>
  </conditionalFormatting>
  <conditionalFormatting sqref="D50">
    <cfRule type="expression" dxfId="2331" priority="11">
      <formula>$G50="réalisé"</formula>
    </cfRule>
    <cfRule type="expression" dxfId="2330" priority="12">
      <formula>$G50="en cours"</formula>
    </cfRule>
    <cfRule type="expression" dxfId="2329" priority="13">
      <formula>$G50="non compris"</formula>
    </cfRule>
  </conditionalFormatting>
  <conditionalFormatting sqref="D49">
    <cfRule type="expression" dxfId="2328" priority="8">
      <formula>$G49="réalisé"</formula>
    </cfRule>
    <cfRule type="expression" dxfId="2327" priority="9">
      <formula>$G49="en cours"</formula>
    </cfRule>
    <cfRule type="expression" dxfId="2326" priority="10">
      <formula>$G49="non compris"</formula>
    </cfRule>
  </conditionalFormatting>
  <conditionalFormatting sqref="D48">
    <cfRule type="expression" dxfId="2325" priority="5">
      <formula>$G48="réalisé"</formula>
    </cfRule>
    <cfRule type="expression" dxfId="2324" priority="6">
      <formula>$G48="en cours"</formula>
    </cfRule>
    <cfRule type="expression" dxfId="2323" priority="7">
      <formula>$G48="non compris"</formula>
    </cfRule>
  </conditionalFormatting>
  <conditionalFormatting sqref="D51">
    <cfRule type="expression" dxfId="2322" priority="2">
      <formula>$G51="réalisé"</formula>
    </cfRule>
    <cfRule type="expression" dxfId="2321" priority="3">
      <formula>$G51="en cours"</formula>
    </cfRule>
    <cfRule type="expression" dxfId="2320" priority="4">
      <formula>$G51="non compris"</formula>
    </cfRule>
  </conditionalFormatting>
  <conditionalFormatting sqref="D8:D26">
    <cfRule type="expression" dxfId="2319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77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>
    <tabColor rgb="FF00B050"/>
    <pageSetUpPr fitToPage="1"/>
  </sheetPr>
  <dimension ref="A1:I74"/>
  <sheetViews>
    <sheetView topLeftCell="A10" zoomScaleNormal="100" workbookViewId="0">
      <selection activeCell="E25" sqref="E25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7" t="s">
        <v>0</v>
      </c>
      <c r="B1" s="378"/>
      <c r="C1" s="378"/>
      <c r="D1" s="378"/>
      <c r="E1" s="378"/>
      <c r="F1" s="378"/>
      <c r="G1" s="378"/>
      <c r="H1" s="1" t="s">
        <v>1</v>
      </c>
      <c r="I1" s="3">
        <f ca="1">INT(MOD(INT((LISTE!D1-2)/7)+0.6,52+5/28))+1</f>
        <v>41</v>
      </c>
    </row>
    <row r="2" spans="1:9" x14ac:dyDescent="0.25">
      <c r="A2" s="390" t="s">
        <v>2</v>
      </c>
      <c r="B2" s="391"/>
      <c r="C2" s="70" t="s">
        <v>256</v>
      </c>
      <c r="D2" s="4" t="s">
        <v>72</v>
      </c>
      <c r="E2" s="379">
        <v>43200</v>
      </c>
      <c r="F2" s="379"/>
      <c r="G2" s="5"/>
      <c r="H2" s="380" t="s">
        <v>143</v>
      </c>
      <c r="I2" s="381"/>
    </row>
    <row r="3" spans="1:9" ht="15.75" x14ac:dyDescent="0.25">
      <c r="A3" s="392" t="s">
        <v>106</v>
      </c>
      <c r="B3" s="384"/>
      <c r="C3" s="6" t="s">
        <v>257</v>
      </c>
      <c r="D3" s="7" t="s">
        <v>3</v>
      </c>
      <c r="E3" s="382"/>
      <c r="F3" s="383"/>
      <c r="G3" s="8"/>
      <c r="H3" s="384" t="str">
        <f ca="1">DATEDIF(E3,TODAY(),"m")&amp;"mois"&amp;-DATEDIF(E3,TODAY(),"md")&amp;"jours"</f>
        <v>1425mois-12jours</v>
      </c>
      <c r="I3" s="385"/>
    </row>
    <row r="4" spans="1:9" ht="18.75" x14ac:dyDescent="0.25">
      <c r="A4" s="69" t="s">
        <v>117</v>
      </c>
      <c r="B4" s="129"/>
      <c r="C4" s="9" t="s">
        <v>119</v>
      </c>
      <c r="D4" s="10" t="s">
        <v>4</v>
      </c>
      <c r="E4" s="386">
        <f>E3+60</f>
        <v>60</v>
      </c>
      <c r="F4" s="386"/>
      <c r="G4" s="11"/>
      <c r="H4" s="12"/>
      <c r="I4" s="13"/>
    </row>
    <row r="5" spans="1:9" x14ac:dyDescent="0.25">
      <c r="A5" s="393" t="s">
        <v>76</v>
      </c>
      <c r="B5" s="394"/>
      <c r="C5" s="15"/>
      <c r="D5" s="16"/>
      <c r="E5" s="15"/>
      <c r="F5" s="15"/>
      <c r="G5" s="17"/>
      <c r="H5" s="18"/>
      <c r="I5" s="19"/>
    </row>
    <row r="6" spans="1:9" ht="18.75" x14ac:dyDescent="0.3">
      <c r="A6" s="395" t="s">
        <v>75</v>
      </c>
      <c r="B6" s="396"/>
      <c r="C6" s="387" t="s">
        <v>145</v>
      </c>
      <c r="D6" s="388"/>
      <c r="E6" s="388"/>
      <c r="F6" s="388"/>
      <c r="G6" s="388"/>
      <c r="H6" s="389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22"/>
      <c r="B8" s="200"/>
      <c r="C8" s="28" t="s">
        <v>124</v>
      </c>
      <c r="D8" s="52" t="s">
        <v>38</v>
      </c>
      <c r="E8" s="180">
        <v>36</v>
      </c>
      <c r="F8" s="25"/>
      <c r="G8" s="26" t="s">
        <v>36</v>
      </c>
      <c r="H8" s="27"/>
      <c r="I8" s="19"/>
    </row>
    <row r="9" spans="1:9" x14ac:dyDescent="0.25">
      <c r="A9" s="122"/>
      <c r="B9" s="130"/>
      <c r="C9" s="28" t="s">
        <v>131</v>
      </c>
      <c r="D9" s="53" t="str">
        <f>D8</f>
        <v>TEMA</v>
      </c>
      <c r="E9" s="181">
        <f>E8+1</f>
        <v>37</v>
      </c>
      <c r="F9" s="29"/>
      <c r="G9" s="30" t="s">
        <v>36</v>
      </c>
      <c r="H9" s="27"/>
      <c r="I9" s="19"/>
    </row>
    <row r="10" spans="1:9" ht="15" customHeight="1" x14ac:dyDescent="0.25">
      <c r="A10" s="131"/>
      <c r="B10" s="182"/>
      <c r="C10" s="28" t="s">
        <v>132</v>
      </c>
      <c r="D10" s="52" t="str">
        <f>D9</f>
        <v>TEMA</v>
      </c>
      <c r="E10" s="180">
        <f>E9</f>
        <v>37</v>
      </c>
      <c r="F10" s="31"/>
      <c r="G10" s="30" t="s">
        <v>36</v>
      </c>
      <c r="H10" s="27"/>
      <c r="I10" s="19"/>
    </row>
    <row r="11" spans="1:9" ht="15" customHeight="1" x14ac:dyDescent="0.25">
      <c r="A11" s="131"/>
      <c r="B11" s="132"/>
      <c r="C11" s="28" t="s">
        <v>133</v>
      </c>
      <c r="D11" s="54" t="str">
        <f>D8</f>
        <v>TEMA</v>
      </c>
      <c r="E11" s="180">
        <v>39</v>
      </c>
      <c r="F11" s="31"/>
      <c r="G11" s="30" t="s">
        <v>36</v>
      </c>
      <c r="H11" s="27"/>
      <c r="I11" s="19"/>
    </row>
    <row r="12" spans="1:9" ht="15" customHeight="1" x14ac:dyDescent="0.25">
      <c r="A12" s="144">
        <v>17534.28</v>
      </c>
      <c r="B12" s="143">
        <f>A12-14611.9</f>
        <v>2922.3799999999992</v>
      </c>
      <c r="C12" s="28" t="s">
        <v>134</v>
      </c>
      <c r="D12" s="54" t="str">
        <f t="shared" ref="D12:D14" si="0">D9</f>
        <v>TEMA</v>
      </c>
      <c r="E12" s="180">
        <f>E11+2</f>
        <v>41</v>
      </c>
      <c r="F12" s="31"/>
      <c r="G12" s="30" t="s">
        <v>36</v>
      </c>
      <c r="H12" s="27"/>
      <c r="I12" s="19"/>
    </row>
    <row r="13" spans="1:9" ht="15" customHeight="1" x14ac:dyDescent="0.25">
      <c r="A13" s="131"/>
      <c r="B13" s="132"/>
      <c r="C13" s="28" t="s">
        <v>191</v>
      </c>
      <c r="D13" s="54" t="str">
        <f t="shared" si="0"/>
        <v>TEMA</v>
      </c>
      <c r="E13" s="180">
        <f>E12+1</f>
        <v>42</v>
      </c>
      <c r="F13" s="31"/>
      <c r="G13" s="30" t="s">
        <v>36</v>
      </c>
      <c r="H13" s="27"/>
      <c r="I13" s="19"/>
    </row>
    <row r="14" spans="1:9" ht="15" customHeight="1" x14ac:dyDescent="0.25">
      <c r="A14" s="131"/>
      <c r="B14" s="132"/>
      <c r="C14" s="28" t="s">
        <v>136</v>
      </c>
      <c r="D14" s="54" t="str">
        <f t="shared" si="0"/>
        <v>TEMA</v>
      </c>
      <c r="E14" s="180">
        <f>E13</f>
        <v>42</v>
      </c>
      <c r="F14" s="31"/>
      <c r="G14" s="30" t="s">
        <v>36</v>
      </c>
      <c r="H14" s="27"/>
      <c r="I14" s="19"/>
    </row>
    <row r="15" spans="1:9" x14ac:dyDescent="0.25">
      <c r="A15" s="131"/>
      <c r="B15" s="132"/>
      <c r="C15" s="28" t="s">
        <v>62</v>
      </c>
      <c r="D15" s="53" t="s">
        <v>64</v>
      </c>
      <c r="E15" s="24">
        <f>E10+4</f>
        <v>41</v>
      </c>
      <c r="F15" s="29"/>
      <c r="G15" s="30" t="s">
        <v>70</v>
      </c>
      <c r="H15" s="27"/>
      <c r="I15" s="19"/>
    </row>
    <row r="16" spans="1:9" x14ac:dyDescent="0.25">
      <c r="A16" s="131"/>
      <c r="B16" s="132"/>
      <c r="C16" s="28" t="s">
        <v>10</v>
      </c>
      <c r="D16" s="52" t="s">
        <v>64</v>
      </c>
      <c r="E16" s="24">
        <f>E10+1</f>
        <v>38</v>
      </c>
      <c r="F16" s="29"/>
      <c r="G16" s="30" t="s">
        <v>70</v>
      </c>
      <c r="H16" s="27"/>
      <c r="I16" s="19"/>
    </row>
    <row r="17" spans="1:9" x14ac:dyDescent="0.25">
      <c r="A17" s="131"/>
      <c r="B17" s="132"/>
      <c r="C17" s="28" t="s">
        <v>11</v>
      </c>
      <c r="D17" s="53" t="s">
        <v>189</v>
      </c>
      <c r="E17" s="24">
        <f>E16+1</f>
        <v>39</v>
      </c>
      <c r="F17" s="29"/>
      <c r="G17" s="30" t="s">
        <v>70</v>
      </c>
      <c r="H17" s="27"/>
      <c r="I17" s="19"/>
    </row>
    <row r="18" spans="1:9" x14ac:dyDescent="0.25">
      <c r="A18" s="143"/>
      <c r="B18" s="143">
        <f>A18</f>
        <v>0</v>
      </c>
      <c r="C18" s="55" t="s">
        <v>12</v>
      </c>
      <c r="D18" s="60" t="s">
        <v>68</v>
      </c>
      <c r="E18" s="204">
        <f>IF(E13="","",MOD(E17+1,52))</f>
        <v>40</v>
      </c>
      <c r="F18" s="57"/>
      <c r="G18" s="58" t="s">
        <v>9</v>
      </c>
      <c r="H18" s="59"/>
      <c r="I18" s="19"/>
    </row>
    <row r="19" spans="1:9" x14ac:dyDescent="0.25">
      <c r="A19" s="131"/>
      <c r="B19" s="132"/>
      <c r="C19" s="28" t="s">
        <v>288</v>
      </c>
      <c r="D19" s="53" t="str">
        <f>D10</f>
        <v>TEMA</v>
      </c>
      <c r="E19" s="24">
        <f>IF(E18="","",MOD(E18+1,52))</f>
        <v>41</v>
      </c>
      <c r="F19" s="29"/>
      <c r="G19" s="30" t="s">
        <v>36</v>
      </c>
      <c r="H19" s="27"/>
      <c r="I19" s="19"/>
    </row>
    <row r="20" spans="1:9" x14ac:dyDescent="0.25">
      <c r="A20" s="142"/>
      <c r="B20" s="143">
        <f>A20</f>
        <v>0</v>
      </c>
      <c r="C20" s="55" t="s">
        <v>59</v>
      </c>
      <c r="D20" s="60" t="s">
        <v>68</v>
      </c>
      <c r="E20" s="61">
        <f>IF(E19="","",MOD(E19+1,52))</f>
        <v>42</v>
      </c>
      <c r="F20" s="57"/>
      <c r="G20" s="58" t="s">
        <v>9</v>
      </c>
      <c r="H20" s="59"/>
      <c r="I20" s="19"/>
    </row>
    <row r="21" spans="1:9" x14ac:dyDescent="0.25">
      <c r="A21" s="149"/>
      <c r="B21" s="143">
        <f>A21</f>
        <v>0</v>
      </c>
      <c r="C21" s="28" t="s">
        <v>60</v>
      </c>
      <c r="D21" s="54" t="s">
        <v>227</v>
      </c>
      <c r="E21" s="24">
        <f>E20</f>
        <v>42</v>
      </c>
      <c r="F21" s="29"/>
      <c r="G21" s="30" t="s">
        <v>9</v>
      </c>
      <c r="H21" s="50"/>
      <c r="I21" s="19"/>
    </row>
    <row r="22" spans="1:9" x14ac:dyDescent="0.25">
      <c r="A22" s="131"/>
      <c r="B22" s="132"/>
      <c r="C22" s="167" t="s">
        <v>13</v>
      </c>
      <c r="D22" s="168" t="s">
        <v>227</v>
      </c>
      <c r="E22" s="169">
        <f>E20</f>
        <v>42</v>
      </c>
      <c r="F22" s="170"/>
      <c r="G22" s="171" t="s">
        <v>9</v>
      </c>
      <c r="H22" s="172"/>
      <c r="I22" s="19"/>
    </row>
    <row r="23" spans="1:9" x14ac:dyDescent="0.25">
      <c r="A23" s="252">
        <v>1810.49</v>
      </c>
      <c r="B23" s="230">
        <f>A23-1810.49</f>
        <v>0</v>
      </c>
      <c r="C23" s="32" t="s">
        <v>138</v>
      </c>
      <c r="D23" s="52" t="s">
        <v>45</v>
      </c>
      <c r="E23" s="24">
        <f>IF(E20="","",MOD(E20+2,52))</f>
        <v>44</v>
      </c>
      <c r="F23" s="29"/>
      <c r="G23" s="30" t="s">
        <v>9</v>
      </c>
      <c r="H23" s="27"/>
      <c r="I23" s="19"/>
    </row>
    <row r="24" spans="1:9" x14ac:dyDescent="0.25">
      <c r="A24" s="131"/>
      <c r="B24" s="132"/>
      <c r="C24" s="28" t="s">
        <v>14</v>
      </c>
      <c r="D24" s="53" t="str">
        <f>D17</f>
        <v>EURO ECHAFAUDAGE</v>
      </c>
      <c r="E24" s="24">
        <f>IF(E20="","",MOD(E20+2,52))</f>
        <v>44</v>
      </c>
      <c r="F24" s="29"/>
      <c r="G24" s="30" t="s">
        <v>70</v>
      </c>
      <c r="H24" s="27"/>
      <c r="I24" s="19"/>
    </row>
    <row r="25" spans="1:9" x14ac:dyDescent="0.25">
      <c r="A25" s="144"/>
      <c r="B25" s="143">
        <f>A25</f>
        <v>0</v>
      </c>
      <c r="C25" s="183" t="s">
        <v>137</v>
      </c>
      <c r="D25" s="53" t="s">
        <v>56</v>
      </c>
      <c r="E25" s="24">
        <f>E23</f>
        <v>44</v>
      </c>
      <c r="F25" s="29"/>
      <c r="G25" s="72" t="s">
        <v>9</v>
      </c>
      <c r="H25" s="27"/>
      <c r="I25" s="19"/>
    </row>
    <row r="26" spans="1:9" x14ac:dyDescent="0.25">
      <c r="A26" s="131"/>
      <c r="B26" s="132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145"/>
      <c r="B27" s="146"/>
      <c r="C27" s="387" t="s">
        <v>144</v>
      </c>
      <c r="D27" s="388"/>
      <c r="E27" s="388"/>
      <c r="F27" s="388"/>
      <c r="G27" s="388"/>
      <c r="H27" s="389"/>
      <c r="I27" s="19"/>
    </row>
    <row r="28" spans="1:9" ht="15.75" thickBot="1" x14ac:dyDescent="0.3">
      <c r="A28" s="131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44">
        <f>1111.3*1.2</f>
        <v>1333.56</v>
      </c>
      <c r="B29" s="143">
        <f>A29</f>
        <v>1333.56</v>
      </c>
      <c r="C29" s="78" t="s">
        <v>66</v>
      </c>
      <c r="D29" s="52" t="s">
        <v>90</v>
      </c>
      <c r="E29" s="79">
        <f>IF(E24="","",MOD(E24+1,52))</f>
        <v>45</v>
      </c>
      <c r="F29" s="25"/>
      <c r="G29" s="26" t="s">
        <v>9</v>
      </c>
      <c r="H29" s="27"/>
      <c r="I29" s="19"/>
    </row>
    <row r="30" spans="1:9" x14ac:dyDescent="0.25">
      <c r="A30" s="144">
        <v>1909.45</v>
      </c>
      <c r="B30" s="143">
        <f>A30</f>
        <v>1909.45</v>
      </c>
      <c r="C30" s="28" t="s">
        <v>67</v>
      </c>
      <c r="D30" s="53" t="s">
        <v>47</v>
      </c>
      <c r="E30" s="24">
        <f>IF(E29="","",MOD(E29+1,52))</f>
        <v>46</v>
      </c>
      <c r="F30" s="29"/>
      <c r="G30" s="30"/>
      <c r="H30" s="27"/>
      <c r="I30" s="19"/>
    </row>
    <row r="31" spans="1:9" x14ac:dyDescent="0.25">
      <c r="A31" s="131"/>
      <c r="B31" s="132"/>
      <c r="C31" s="62" t="s">
        <v>16</v>
      </c>
      <c r="D31" s="52" t="str">
        <f>D29</f>
        <v>ELECTRO HECKER</v>
      </c>
      <c r="E31" s="24">
        <f>IF(E30="","",MOD(E30+2,52))</f>
        <v>48</v>
      </c>
      <c r="F31" s="29"/>
      <c r="G31" s="30"/>
      <c r="H31" s="27"/>
      <c r="I31" s="19"/>
    </row>
    <row r="32" spans="1:9" x14ac:dyDescent="0.25">
      <c r="A32" s="144"/>
      <c r="B32" s="143">
        <f>A32</f>
        <v>0</v>
      </c>
      <c r="C32" s="80" t="s">
        <v>17</v>
      </c>
      <c r="D32" s="53" t="s">
        <v>51</v>
      </c>
      <c r="E32" s="24">
        <f>IF(E30="","",MOD(E30+2,52))</f>
        <v>48</v>
      </c>
      <c r="F32" s="29"/>
      <c r="G32" s="30"/>
      <c r="H32" s="27"/>
      <c r="I32" s="19"/>
    </row>
    <row r="33" spans="1:9" x14ac:dyDescent="0.25">
      <c r="A33" s="144"/>
      <c r="B33" s="143"/>
      <c r="C33" s="62" t="s">
        <v>140</v>
      </c>
      <c r="D33" s="52" t="s">
        <v>167</v>
      </c>
      <c r="E33" s="24">
        <f>IF(E32="","",MOD(E32+1,52))</f>
        <v>49</v>
      </c>
      <c r="F33" s="29"/>
      <c r="G33" s="30"/>
      <c r="H33" s="27"/>
      <c r="I33" s="19"/>
    </row>
    <row r="34" spans="1:9" x14ac:dyDescent="0.25">
      <c r="A34" s="144"/>
      <c r="B34" s="143">
        <f>A34</f>
        <v>0</v>
      </c>
      <c r="C34" s="28" t="s">
        <v>141</v>
      </c>
      <c r="D34" s="53" t="s">
        <v>167</v>
      </c>
      <c r="E34" s="24">
        <f>IF(E32="","",MOD(E32+1,52))</f>
        <v>49</v>
      </c>
      <c r="F34" s="29"/>
      <c r="G34" s="30"/>
      <c r="H34" s="27"/>
      <c r="I34" s="19"/>
    </row>
    <row r="35" spans="1:9" x14ac:dyDescent="0.25">
      <c r="A35" s="131"/>
      <c r="B35" s="13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144"/>
      <c r="B36" s="143">
        <f>A36</f>
        <v>0</v>
      </c>
      <c r="C36" s="28" t="s">
        <v>19</v>
      </c>
      <c r="D36" s="53" t="s">
        <v>206</v>
      </c>
      <c r="E36" s="24">
        <f>IF(E34="","",MOD(E34+1,52))</f>
        <v>50</v>
      </c>
      <c r="F36" s="29"/>
      <c r="G36" s="30"/>
      <c r="H36" s="27"/>
      <c r="I36" s="19"/>
    </row>
    <row r="37" spans="1:9" x14ac:dyDescent="0.25">
      <c r="A37" s="131"/>
      <c r="B37" s="132"/>
      <c r="C37" s="28" t="s">
        <v>20</v>
      </c>
      <c r="D37" s="52" t="str">
        <f>D30</f>
        <v>SOARES</v>
      </c>
      <c r="E37" s="24">
        <f>IF(E36="","",MOD(E36+1,52))</f>
        <v>51</v>
      </c>
      <c r="F37" s="29"/>
      <c r="G37" s="30"/>
      <c r="H37" s="27"/>
      <c r="I37" s="19"/>
    </row>
    <row r="38" spans="1:9" x14ac:dyDescent="0.25">
      <c r="A38" s="131"/>
      <c r="B38" s="132"/>
      <c r="C38" s="28" t="s">
        <v>21</v>
      </c>
      <c r="D38" s="53" t="str">
        <f>D29</f>
        <v>ELECTRO HECKER</v>
      </c>
      <c r="E38" s="24">
        <v>2</v>
      </c>
      <c r="F38" s="29"/>
      <c r="G38" s="30" t="s">
        <v>9</v>
      </c>
      <c r="H38" s="27"/>
      <c r="I38" s="19"/>
    </row>
    <row r="39" spans="1:9" x14ac:dyDescent="0.25">
      <c r="A39" s="131"/>
      <c r="B39" s="132"/>
      <c r="C39" s="28" t="s">
        <v>22</v>
      </c>
      <c r="D39" s="52" t="str">
        <f>D32</f>
        <v>EKOTHERM</v>
      </c>
      <c r="E39" s="24">
        <v>3</v>
      </c>
      <c r="F39" s="29"/>
      <c r="G39" s="30"/>
      <c r="H39" s="27"/>
      <c r="I39" s="19"/>
    </row>
    <row r="40" spans="1:9" x14ac:dyDescent="0.25">
      <c r="A40" s="131"/>
      <c r="B40" s="132"/>
      <c r="C40" s="28" t="s">
        <v>23</v>
      </c>
      <c r="D40" s="53" t="s">
        <v>64</v>
      </c>
      <c r="E40" s="24">
        <f>E36+4</f>
        <v>54</v>
      </c>
      <c r="F40" s="29"/>
      <c r="G40" s="30" t="s">
        <v>70</v>
      </c>
      <c r="H40" s="27"/>
      <c r="I40" s="19"/>
    </row>
    <row r="41" spans="1:9" x14ac:dyDescent="0.25">
      <c r="A41" s="131"/>
      <c r="B41" s="132"/>
      <c r="C41" s="28" t="s">
        <v>24</v>
      </c>
      <c r="D41" s="52" t="s">
        <v>64</v>
      </c>
      <c r="E41" s="24">
        <f>E39+1</f>
        <v>4</v>
      </c>
      <c r="F41" s="29"/>
      <c r="G41" s="30" t="s">
        <v>70</v>
      </c>
      <c r="H41" s="27"/>
      <c r="I41" s="19"/>
    </row>
    <row r="42" spans="1:9" x14ac:dyDescent="0.25">
      <c r="A42" s="131"/>
      <c r="B42" s="132"/>
      <c r="C42" s="28" t="s">
        <v>25</v>
      </c>
      <c r="D42" s="53" t="str">
        <f>D34</f>
        <v>OTEC</v>
      </c>
      <c r="E42" s="24">
        <f>IF(E40="","",MOD(E40+2,52))</f>
        <v>4</v>
      </c>
      <c r="F42" s="29"/>
      <c r="G42" s="30"/>
      <c r="H42" s="27"/>
      <c r="I42" s="19"/>
    </row>
    <row r="43" spans="1:9" x14ac:dyDescent="0.25">
      <c r="A43" s="143"/>
      <c r="B43" s="143">
        <f>A43</f>
        <v>0</v>
      </c>
      <c r="C43" s="81" t="s">
        <v>147</v>
      </c>
      <c r="D43" s="52" t="s">
        <v>64</v>
      </c>
      <c r="E43" s="82">
        <f>E44</f>
        <v>4</v>
      </c>
      <c r="F43" s="83"/>
      <c r="G43" s="72" t="s">
        <v>70</v>
      </c>
      <c r="H43" s="27"/>
      <c r="I43" s="19"/>
    </row>
    <row r="44" spans="1:9" x14ac:dyDescent="0.25">
      <c r="A44" s="144"/>
      <c r="B44" s="143">
        <f>A44</f>
        <v>0</v>
      </c>
      <c r="C44" s="81" t="s">
        <v>139</v>
      </c>
      <c r="D44" s="193" t="s">
        <v>54</v>
      </c>
      <c r="E44" s="82">
        <f>IF(E40="","",MOD(E40+2,52))</f>
        <v>4</v>
      </c>
      <c r="F44" s="83"/>
      <c r="G44" s="72"/>
      <c r="H44" s="194"/>
      <c r="I44" s="19"/>
    </row>
    <row r="45" spans="1:9" x14ac:dyDescent="0.25">
      <c r="A45" s="131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145"/>
      <c r="B46" s="146"/>
      <c r="C46" s="387" t="s">
        <v>146</v>
      </c>
      <c r="D46" s="388"/>
      <c r="E46" s="388"/>
      <c r="F46" s="388"/>
      <c r="G46" s="388"/>
      <c r="H46" s="389"/>
      <c r="I46" s="19"/>
    </row>
    <row r="47" spans="1:9" ht="15.75" thickBot="1" x14ac:dyDescent="0.3">
      <c r="A47" s="131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144"/>
      <c r="B48" s="143">
        <f>A48</f>
        <v>0</v>
      </c>
      <c r="C48" s="88" t="s">
        <v>26</v>
      </c>
      <c r="D48" s="52" t="s">
        <v>57</v>
      </c>
      <c r="E48" s="89">
        <f>E32+1</f>
        <v>49</v>
      </c>
      <c r="F48" s="25"/>
      <c r="G48" s="26"/>
      <c r="H48" s="27"/>
      <c r="I48" s="19"/>
    </row>
    <row r="49" spans="1:9" x14ac:dyDescent="0.25">
      <c r="A49" s="133"/>
      <c r="B49" s="173"/>
      <c r="C49" s="102" t="s">
        <v>69</v>
      </c>
      <c r="D49" s="103" t="s">
        <v>64</v>
      </c>
      <c r="E49" s="104">
        <f>E48</f>
        <v>49</v>
      </c>
      <c r="F49" s="105"/>
      <c r="G49" s="106" t="s">
        <v>70</v>
      </c>
      <c r="H49" s="27"/>
      <c r="I49" s="19"/>
    </row>
    <row r="50" spans="1:9" x14ac:dyDescent="0.25">
      <c r="A50" s="133"/>
      <c r="B50" s="173"/>
      <c r="C50" s="92" t="s">
        <v>61</v>
      </c>
      <c r="D50" s="99" t="s">
        <v>68</v>
      </c>
      <c r="E50" s="101">
        <f>E48+1</f>
        <v>50</v>
      </c>
      <c r="F50" s="95"/>
      <c r="G50" s="96" t="s">
        <v>9</v>
      </c>
      <c r="H50" s="97"/>
      <c r="I50" s="19"/>
    </row>
    <row r="51" spans="1:9" x14ac:dyDescent="0.25">
      <c r="A51" s="133">
        <f>SUM(A8:A50)</f>
        <v>22587.780000000002</v>
      </c>
      <c r="B51" s="173"/>
      <c r="C51" s="91" t="s">
        <v>27</v>
      </c>
      <c r="D51" s="52" t="s">
        <v>64</v>
      </c>
      <c r="E51" s="90">
        <f>E48+3</f>
        <v>52</v>
      </c>
      <c r="F51" s="29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7" t="s">
        <v>142</v>
      </c>
      <c r="I54" s="19"/>
    </row>
    <row r="55" spans="1:9" x14ac:dyDescent="0.25">
      <c r="A55" s="42"/>
      <c r="B55" s="126"/>
      <c r="C55" s="43" t="s">
        <v>122</v>
      </c>
      <c r="D55" s="107">
        <v>43207</v>
      </c>
      <c r="E55" s="44"/>
      <c r="F55" s="45" t="s">
        <v>109</v>
      </c>
      <c r="G55" s="18"/>
      <c r="H55" s="398"/>
      <c r="I55" s="19"/>
    </row>
    <row r="56" spans="1:9" x14ac:dyDescent="0.25">
      <c r="A56" s="42"/>
      <c r="B56" s="126"/>
      <c r="C56" s="33" t="s">
        <v>123</v>
      </c>
      <c r="D56" s="49">
        <v>43305</v>
      </c>
      <c r="E56" s="46"/>
      <c r="F56" s="2" t="s">
        <v>109</v>
      </c>
      <c r="G56" s="18"/>
      <c r="H56" s="399" t="str">
        <f>DATEDIF(E3,D58,"m")&amp;"mois"&amp;DATEDIF(E3,D58,"md")&amp;"jours"</f>
        <v>1428mois25jours</v>
      </c>
      <c r="I56" s="19"/>
    </row>
    <row r="57" spans="1:9" ht="15.75" thickBot="1" x14ac:dyDescent="0.3">
      <c r="A57" s="42"/>
      <c r="B57" s="126"/>
      <c r="C57" s="33" t="s">
        <v>31</v>
      </c>
      <c r="D57" s="49">
        <v>43420</v>
      </c>
      <c r="E57" s="46"/>
      <c r="F57" s="2" t="s">
        <v>148</v>
      </c>
      <c r="G57" s="18"/>
      <c r="H57" s="400"/>
      <c r="I57" s="19"/>
    </row>
    <row r="58" spans="1:9" x14ac:dyDescent="0.25">
      <c r="A58" s="42"/>
      <c r="B58" s="126"/>
      <c r="C58" s="47" t="s">
        <v>32</v>
      </c>
      <c r="D58" s="184">
        <v>43490</v>
      </c>
      <c r="E58" s="14"/>
      <c r="F58" s="15" t="s">
        <v>148</v>
      </c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1"/>
      <c r="D60" s="371"/>
      <c r="E60" s="371"/>
      <c r="F60" s="371"/>
      <c r="G60" s="371"/>
      <c r="H60" s="371"/>
      <c r="I60" s="372"/>
    </row>
    <row r="61" spans="1:9" x14ac:dyDescent="0.25">
      <c r="A61" s="34"/>
      <c r="B61" s="18"/>
      <c r="C61" s="373"/>
      <c r="D61" s="373"/>
      <c r="E61" s="373"/>
      <c r="F61" s="373"/>
      <c r="G61" s="373"/>
      <c r="H61" s="373"/>
      <c r="I61" s="374"/>
    </row>
    <row r="62" spans="1:9" x14ac:dyDescent="0.25">
      <c r="A62" s="34"/>
      <c r="B62" s="18"/>
      <c r="C62" s="373"/>
      <c r="D62" s="373"/>
      <c r="E62" s="373"/>
      <c r="F62" s="373"/>
      <c r="G62" s="373"/>
      <c r="H62" s="373"/>
      <c r="I62" s="374"/>
    </row>
    <row r="63" spans="1:9" x14ac:dyDescent="0.25">
      <c r="A63" s="34"/>
      <c r="B63" s="18"/>
      <c r="C63" s="373"/>
      <c r="D63" s="373"/>
      <c r="E63" s="373"/>
      <c r="F63" s="373"/>
      <c r="G63" s="373"/>
      <c r="H63" s="373"/>
      <c r="I63" s="374"/>
    </row>
    <row r="64" spans="1:9" x14ac:dyDescent="0.25">
      <c r="A64" s="34"/>
      <c r="B64" s="18"/>
      <c r="C64" s="373"/>
      <c r="D64" s="373"/>
      <c r="E64" s="373"/>
      <c r="F64" s="373"/>
      <c r="G64" s="373"/>
      <c r="H64" s="373"/>
      <c r="I64" s="374"/>
    </row>
    <row r="65" spans="1:9" x14ac:dyDescent="0.25">
      <c r="A65" s="44"/>
      <c r="B65" s="45"/>
      <c r="C65" s="375"/>
      <c r="D65" s="375"/>
      <c r="E65" s="375"/>
      <c r="F65" s="375"/>
      <c r="G65" s="375"/>
      <c r="H65" s="375"/>
      <c r="I65" s="376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H54:H55"/>
    <mergeCell ref="H56:H57"/>
    <mergeCell ref="C60:I65"/>
    <mergeCell ref="E4:F4"/>
    <mergeCell ref="A5:B5"/>
    <mergeCell ref="A6:B6"/>
    <mergeCell ref="C6:H6"/>
    <mergeCell ref="C27:H27"/>
    <mergeCell ref="C46:H46"/>
    <mergeCell ref="A1:G1"/>
    <mergeCell ref="A2:B2"/>
    <mergeCell ref="E2:F2"/>
    <mergeCell ref="H2:I2"/>
    <mergeCell ref="A3:B3"/>
    <mergeCell ref="E3:F3"/>
    <mergeCell ref="H3:I3"/>
  </mergeCells>
  <conditionalFormatting sqref="C52:G52">
    <cfRule type="expression" dxfId="2276" priority="70">
      <formula>$F52="réalisé"</formula>
    </cfRule>
  </conditionalFormatting>
  <conditionalFormatting sqref="C48:C51 E48:H51 E29:H45 C8:H26">
    <cfRule type="expression" dxfId="2275" priority="67">
      <formula>$G8="réalisé"</formula>
    </cfRule>
    <cfRule type="expression" dxfId="2274" priority="68">
      <formula>$G8="en cours"</formula>
    </cfRule>
    <cfRule type="expression" dxfId="2273" priority="69">
      <formula>$G8="non compris"</formula>
    </cfRule>
  </conditionalFormatting>
  <conditionalFormatting sqref="C29:C45">
    <cfRule type="expression" dxfId="2272" priority="64">
      <formula>$G29="réalisé"</formula>
    </cfRule>
    <cfRule type="expression" dxfId="2271" priority="65">
      <formula>$G29="en cours"</formula>
    </cfRule>
    <cfRule type="expression" dxfId="2270" priority="66">
      <formula>$G29="non compris"</formula>
    </cfRule>
  </conditionalFormatting>
  <conditionalFormatting sqref="C55:F58">
    <cfRule type="expression" dxfId="2269" priority="63">
      <formula>$F55="réalisé"</formula>
    </cfRule>
  </conditionalFormatting>
  <conditionalFormatting sqref="G9">
    <cfRule type="expression" dxfId="2268" priority="62">
      <formula>$G$10="réalisé"</formula>
    </cfRule>
  </conditionalFormatting>
  <conditionalFormatting sqref="G10:G14">
    <cfRule type="expression" dxfId="2267" priority="61">
      <formula>$G$15="réalisé"</formula>
    </cfRule>
  </conditionalFormatting>
  <conditionalFormatting sqref="G20:G21">
    <cfRule type="expression" dxfId="2266" priority="60">
      <formula>$G$22="réalisé"</formula>
    </cfRule>
  </conditionalFormatting>
  <conditionalFormatting sqref="G30">
    <cfRule type="expression" dxfId="2265" priority="59">
      <formula>$G$31="réalisé"</formula>
    </cfRule>
  </conditionalFormatting>
  <conditionalFormatting sqref="D29">
    <cfRule type="expression" dxfId="2264" priority="56">
      <formula>$G29="réalisé"</formula>
    </cfRule>
    <cfRule type="expression" dxfId="2263" priority="57">
      <formula>$G29="en cours"</formula>
    </cfRule>
    <cfRule type="expression" dxfId="2262" priority="58">
      <formula>$G29="non compris"</formula>
    </cfRule>
  </conditionalFormatting>
  <conditionalFormatting sqref="D31">
    <cfRule type="expression" dxfId="2261" priority="53">
      <formula>$G31="réalisé"</formula>
    </cfRule>
    <cfRule type="expression" dxfId="2260" priority="54">
      <formula>$G31="en cours"</formula>
    </cfRule>
    <cfRule type="expression" dxfId="2259" priority="55">
      <formula>$G31="non compris"</formula>
    </cfRule>
  </conditionalFormatting>
  <conditionalFormatting sqref="D33">
    <cfRule type="expression" dxfId="2258" priority="50">
      <formula>$G33="réalisé"</formula>
    </cfRule>
    <cfRule type="expression" dxfId="2257" priority="51">
      <formula>$G33="en cours"</formula>
    </cfRule>
    <cfRule type="expression" dxfId="2256" priority="52">
      <formula>$G33="non compris"</formula>
    </cfRule>
  </conditionalFormatting>
  <conditionalFormatting sqref="D35">
    <cfRule type="expression" dxfId="2255" priority="47">
      <formula>$G35="réalisé"</formula>
    </cfRule>
    <cfRule type="expression" dxfId="2254" priority="48">
      <formula>$G35="en cours"</formula>
    </cfRule>
    <cfRule type="expression" dxfId="2253" priority="49">
      <formula>$G35="non compris"</formula>
    </cfRule>
  </conditionalFormatting>
  <conditionalFormatting sqref="D37">
    <cfRule type="expression" dxfId="2252" priority="44">
      <formula>$G37="réalisé"</formula>
    </cfRule>
    <cfRule type="expression" dxfId="2251" priority="45">
      <formula>$G37="en cours"</formula>
    </cfRule>
    <cfRule type="expression" dxfId="2250" priority="46">
      <formula>$G37="non compris"</formula>
    </cfRule>
  </conditionalFormatting>
  <conditionalFormatting sqref="D39">
    <cfRule type="expression" dxfId="2249" priority="41">
      <formula>$G39="réalisé"</formula>
    </cfRule>
    <cfRule type="expression" dxfId="2248" priority="42">
      <formula>$G39="en cours"</formula>
    </cfRule>
    <cfRule type="expression" dxfId="2247" priority="43">
      <formula>$G39="non compris"</formula>
    </cfRule>
  </conditionalFormatting>
  <conditionalFormatting sqref="D41">
    <cfRule type="expression" dxfId="2246" priority="38">
      <formula>$G41="réalisé"</formula>
    </cfRule>
    <cfRule type="expression" dxfId="2245" priority="39">
      <formula>$G41="en cours"</formula>
    </cfRule>
    <cfRule type="expression" dxfId="2244" priority="40">
      <formula>$G41="non compris"</formula>
    </cfRule>
  </conditionalFormatting>
  <conditionalFormatting sqref="D44:D45">
    <cfRule type="expression" dxfId="2243" priority="35">
      <formula>$G44="réalisé"</formula>
    </cfRule>
    <cfRule type="expression" dxfId="2242" priority="36">
      <formula>$G44="en cours"</formula>
    </cfRule>
    <cfRule type="expression" dxfId="2241" priority="37">
      <formula>$G44="non compris"</formula>
    </cfRule>
  </conditionalFormatting>
  <conditionalFormatting sqref="D30">
    <cfRule type="expression" dxfId="2240" priority="32">
      <formula>$G30="réalisé"</formula>
    </cfRule>
    <cfRule type="expression" dxfId="2239" priority="33">
      <formula>$G30="en cours"</formula>
    </cfRule>
    <cfRule type="expression" dxfId="2238" priority="34">
      <formula>$G30="non compris"</formula>
    </cfRule>
  </conditionalFormatting>
  <conditionalFormatting sqref="D32">
    <cfRule type="expression" dxfId="2237" priority="29">
      <formula>$G32="réalisé"</formula>
    </cfRule>
    <cfRule type="expression" dxfId="2236" priority="30">
      <formula>$G32="en cours"</formula>
    </cfRule>
    <cfRule type="expression" dxfId="2235" priority="31">
      <formula>$G32="non compris"</formula>
    </cfRule>
  </conditionalFormatting>
  <conditionalFormatting sqref="D34">
    <cfRule type="expression" dxfId="2234" priority="26">
      <formula>$G34="réalisé"</formula>
    </cfRule>
    <cfRule type="expression" dxfId="2233" priority="27">
      <formula>$G34="en cours"</formula>
    </cfRule>
    <cfRule type="expression" dxfId="2232" priority="28">
      <formula>$G34="non compris"</formula>
    </cfRule>
  </conditionalFormatting>
  <conditionalFormatting sqref="D36">
    <cfRule type="expression" dxfId="2231" priority="23">
      <formula>$G36="réalisé"</formula>
    </cfRule>
    <cfRule type="expression" dxfId="2230" priority="24">
      <formula>$G36="en cours"</formula>
    </cfRule>
    <cfRule type="expression" dxfId="2229" priority="25">
      <formula>$G36="non compris"</formula>
    </cfRule>
  </conditionalFormatting>
  <conditionalFormatting sqref="D38">
    <cfRule type="expression" dxfId="2228" priority="20">
      <formula>$G38="réalisé"</formula>
    </cfRule>
    <cfRule type="expression" dxfId="2227" priority="21">
      <formula>$G38="en cours"</formula>
    </cfRule>
    <cfRule type="expression" dxfId="2226" priority="22">
      <formula>$G38="non compris"</formula>
    </cfRule>
  </conditionalFormatting>
  <conditionalFormatting sqref="D40">
    <cfRule type="expression" dxfId="2225" priority="17">
      <formula>$G40="réalisé"</formula>
    </cfRule>
    <cfRule type="expression" dxfId="2224" priority="18">
      <formula>$G40="en cours"</formula>
    </cfRule>
    <cfRule type="expression" dxfId="2223" priority="19">
      <formula>$G40="non compris"</formula>
    </cfRule>
  </conditionalFormatting>
  <conditionalFormatting sqref="D42:D43">
    <cfRule type="expression" dxfId="2222" priority="14">
      <formula>$G42="réalisé"</formula>
    </cfRule>
    <cfRule type="expression" dxfId="2221" priority="15">
      <formula>$G42="en cours"</formula>
    </cfRule>
    <cfRule type="expression" dxfId="2220" priority="16">
      <formula>$G42="non compris"</formula>
    </cfRule>
  </conditionalFormatting>
  <conditionalFormatting sqref="D50">
    <cfRule type="expression" dxfId="2219" priority="11">
      <formula>$G50="réalisé"</formula>
    </cfRule>
    <cfRule type="expression" dxfId="2218" priority="12">
      <formula>$G50="en cours"</formula>
    </cfRule>
    <cfRule type="expression" dxfId="2217" priority="13">
      <formula>$G50="non compris"</formula>
    </cfRule>
  </conditionalFormatting>
  <conditionalFormatting sqref="D49">
    <cfRule type="expression" dxfId="2216" priority="8">
      <formula>$G49="réalisé"</formula>
    </cfRule>
    <cfRule type="expression" dxfId="2215" priority="9">
      <formula>$G49="en cours"</formula>
    </cfRule>
    <cfRule type="expression" dxfId="2214" priority="10">
      <formula>$G49="non compris"</formula>
    </cfRule>
  </conditionalFormatting>
  <conditionalFormatting sqref="D48">
    <cfRule type="expression" dxfId="2213" priority="5">
      <formula>$G48="réalisé"</formula>
    </cfRule>
    <cfRule type="expression" dxfId="2212" priority="6">
      <formula>$G48="en cours"</formula>
    </cfRule>
    <cfRule type="expression" dxfId="2211" priority="7">
      <formula>$G48="non compris"</formula>
    </cfRule>
  </conditionalFormatting>
  <conditionalFormatting sqref="D51">
    <cfRule type="expression" dxfId="2210" priority="2">
      <formula>$G51="réalisé"</formula>
    </cfRule>
    <cfRule type="expression" dxfId="2209" priority="3">
      <formula>$G51="en cours"</formula>
    </cfRule>
    <cfRule type="expression" dxfId="2208" priority="4">
      <formula>$G51="non compris"</formula>
    </cfRule>
  </conditionalFormatting>
  <conditionalFormatting sqref="D8:D26">
    <cfRule type="expression" dxfId="2207" priority="1">
      <formula>$D$8="NON CONCERNÉ"</formula>
    </cfRule>
  </conditionalFormatting>
  <dataValidations count="4">
    <dataValidation type="list" allowBlank="1" showInputMessage="1" showErrorMessage="1" sqref="F52">
      <formula1>$L$8:$L$15</formula1>
    </dataValidation>
    <dataValidation type="list" showInputMessage="1" showErrorMessage="1" sqref="D48:D51 D29:D45 D8:D26">
      <formula1>Entreprises</formula1>
    </dataValidation>
    <dataValidation type="list" showInputMessage="1" showErrorMessage="1" sqref="G48:G51 G29:G45 G8:G26">
      <formula1>Avancement</formula1>
    </dataValidation>
    <dataValidation type="list" allowBlank="1" showInputMessage="1" showErrorMessage="1" sqref="C4">
      <formula1>Commercial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8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00B050"/>
    <pageSetUpPr fitToPage="1"/>
  </sheetPr>
  <dimension ref="A1:I74"/>
  <sheetViews>
    <sheetView zoomScaleNormal="100" workbookViewId="0">
      <selection activeCell="E8" sqref="E8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7" t="s">
        <v>0</v>
      </c>
      <c r="B1" s="378"/>
      <c r="C1" s="378"/>
      <c r="D1" s="378"/>
      <c r="E1" s="378"/>
      <c r="F1" s="378"/>
      <c r="G1" s="378"/>
      <c r="H1" s="1" t="s">
        <v>1</v>
      </c>
      <c r="I1" s="3">
        <f ca="1">INT(MOD(INT((LISTE!D1-2)/7)+0.6,52+5/28))+1</f>
        <v>41</v>
      </c>
    </row>
    <row r="2" spans="1:9" x14ac:dyDescent="0.25">
      <c r="A2" s="390" t="s">
        <v>2</v>
      </c>
      <c r="B2" s="391"/>
      <c r="C2" s="70" t="str">
        <f ca="1">MID(CELL("nomfichier",A1),FIND("]",CELL("nomfichier",A1),1)+1,30)</f>
        <v>LAPORTE</v>
      </c>
      <c r="D2" s="4" t="s">
        <v>72</v>
      </c>
      <c r="E2" s="379"/>
      <c r="F2" s="379"/>
      <c r="G2" s="5"/>
      <c r="H2" s="380" t="s">
        <v>143</v>
      </c>
      <c r="I2" s="381"/>
    </row>
    <row r="3" spans="1:9" ht="15.75" x14ac:dyDescent="0.25">
      <c r="A3" s="392" t="s">
        <v>106</v>
      </c>
      <c r="B3" s="384"/>
      <c r="C3" s="6" t="s">
        <v>358</v>
      </c>
      <c r="D3" s="7" t="s">
        <v>3</v>
      </c>
      <c r="E3" s="382"/>
      <c r="F3" s="383"/>
      <c r="G3" s="8"/>
      <c r="H3" s="384" t="str">
        <f ca="1">DATEDIF(E3,TODAY(),"m")&amp;"mois"&amp;-DATEDIF(E3,TODAY(),"md")&amp;"jours"</f>
        <v>1425mois-12jours</v>
      </c>
      <c r="I3" s="385"/>
    </row>
    <row r="4" spans="1:9" ht="18.75" x14ac:dyDescent="0.25">
      <c r="A4" s="69" t="s">
        <v>117</v>
      </c>
      <c r="B4" s="129"/>
      <c r="C4" s="9"/>
      <c r="D4" s="10" t="s">
        <v>4</v>
      </c>
      <c r="E4" s="386">
        <f>E3+60</f>
        <v>60</v>
      </c>
      <c r="F4" s="386"/>
      <c r="G4" s="11"/>
      <c r="H4" s="12"/>
      <c r="I4" s="13"/>
    </row>
    <row r="5" spans="1:9" x14ac:dyDescent="0.25">
      <c r="A5" s="393" t="s">
        <v>76</v>
      </c>
      <c r="B5" s="394"/>
      <c r="C5" s="15"/>
      <c r="D5" s="16"/>
      <c r="E5" s="15"/>
      <c r="F5" s="15"/>
      <c r="G5" s="17"/>
      <c r="H5" s="18"/>
      <c r="I5" s="19"/>
    </row>
    <row r="6" spans="1:9" ht="18.75" x14ac:dyDescent="0.3">
      <c r="A6" s="395" t="s">
        <v>75</v>
      </c>
      <c r="B6" s="396"/>
      <c r="C6" s="387" t="s">
        <v>145</v>
      </c>
      <c r="D6" s="388"/>
      <c r="E6" s="388"/>
      <c r="F6" s="388"/>
      <c r="G6" s="388"/>
      <c r="H6" s="389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22"/>
      <c r="B8" s="200"/>
      <c r="C8" s="28" t="s">
        <v>124</v>
      </c>
      <c r="D8" s="52" t="s">
        <v>65</v>
      </c>
      <c r="E8" s="180">
        <v>36</v>
      </c>
      <c r="F8" s="25"/>
      <c r="G8" s="26" t="s">
        <v>9</v>
      </c>
      <c r="H8" s="27"/>
      <c r="I8" s="19"/>
    </row>
    <row r="9" spans="1:9" x14ac:dyDescent="0.25">
      <c r="A9" s="122"/>
      <c r="B9" s="130"/>
      <c r="C9" s="28" t="s">
        <v>131</v>
      </c>
      <c r="D9" s="53" t="str">
        <f>D8</f>
        <v>_</v>
      </c>
      <c r="E9" s="181">
        <f>E8+1</f>
        <v>37</v>
      </c>
      <c r="F9" s="29"/>
      <c r="G9" s="30" t="s">
        <v>9</v>
      </c>
      <c r="H9" s="27"/>
      <c r="I9" s="19"/>
    </row>
    <row r="10" spans="1:9" ht="15" customHeight="1" x14ac:dyDescent="0.25">
      <c r="A10" s="131"/>
      <c r="B10" s="182"/>
      <c r="C10" s="28" t="s">
        <v>132</v>
      </c>
      <c r="D10" s="52" t="str">
        <f>D9</f>
        <v>_</v>
      </c>
      <c r="E10" s="180">
        <f>E9</f>
        <v>37</v>
      </c>
      <c r="F10" s="31"/>
      <c r="G10" s="30" t="s">
        <v>9</v>
      </c>
      <c r="H10" s="27"/>
      <c r="I10" s="19"/>
    </row>
    <row r="11" spans="1:9" ht="15" customHeight="1" x14ac:dyDescent="0.25">
      <c r="A11" s="131"/>
      <c r="B11" s="132"/>
      <c r="C11" s="28" t="s">
        <v>133</v>
      </c>
      <c r="D11" s="54" t="str">
        <f>D8</f>
        <v>_</v>
      </c>
      <c r="E11" s="180">
        <f>E10+1</f>
        <v>38</v>
      </c>
      <c r="F11" s="31"/>
      <c r="G11" s="30" t="s">
        <v>9</v>
      </c>
      <c r="H11" s="27"/>
      <c r="I11" s="19"/>
    </row>
    <row r="12" spans="1:9" ht="15" customHeight="1" x14ac:dyDescent="0.25">
      <c r="A12" s="143"/>
      <c r="B12" s="143">
        <f>A12</f>
        <v>0</v>
      </c>
      <c r="C12" s="28" t="s">
        <v>134</v>
      </c>
      <c r="D12" s="54" t="str">
        <f t="shared" ref="D12:D14" si="0">D9</f>
        <v>_</v>
      </c>
      <c r="E12" s="180">
        <f>E11+2</f>
        <v>40</v>
      </c>
      <c r="F12" s="31"/>
      <c r="G12" s="30" t="s">
        <v>9</v>
      </c>
      <c r="H12" s="27"/>
      <c r="I12" s="19"/>
    </row>
    <row r="13" spans="1:9" ht="15" customHeight="1" x14ac:dyDescent="0.25">
      <c r="A13" s="131"/>
      <c r="B13" s="132"/>
      <c r="C13" s="28" t="s">
        <v>135</v>
      </c>
      <c r="D13" s="54" t="str">
        <f t="shared" si="0"/>
        <v>_</v>
      </c>
      <c r="E13" s="180">
        <f>E12+1</f>
        <v>41</v>
      </c>
      <c r="F13" s="31"/>
      <c r="G13" s="30" t="s">
        <v>9</v>
      </c>
      <c r="H13" s="27"/>
      <c r="I13" s="19"/>
    </row>
    <row r="14" spans="1:9" ht="15" customHeight="1" x14ac:dyDescent="0.25">
      <c r="A14" s="131"/>
      <c r="B14" s="132"/>
      <c r="C14" s="28" t="s">
        <v>136</v>
      </c>
      <c r="D14" s="54" t="str">
        <f t="shared" si="0"/>
        <v>_</v>
      </c>
      <c r="E14" s="180">
        <f>E13</f>
        <v>41</v>
      </c>
      <c r="F14" s="31"/>
      <c r="G14" s="30" t="s">
        <v>9</v>
      </c>
      <c r="H14" s="27"/>
      <c r="I14" s="19"/>
    </row>
    <row r="15" spans="1:9" x14ac:dyDescent="0.25">
      <c r="A15" s="131"/>
      <c r="B15" s="132"/>
      <c r="C15" s="28" t="s">
        <v>62</v>
      </c>
      <c r="D15" s="53" t="s">
        <v>64</v>
      </c>
      <c r="E15" s="24">
        <f>E10+1</f>
        <v>38</v>
      </c>
      <c r="F15" s="29"/>
      <c r="G15" s="30" t="s">
        <v>70</v>
      </c>
      <c r="H15" s="27"/>
      <c r="I15" s="19"/>
    </row>
    <row r="16" spans="1:9" x14ac:dyDescent="0.25">
      <c r="A16" s="131"/>
      <c r="B16" s="132"/>
      <c r="C16" s="28" t="s">
        <v>10</v>
      </c>
      <c r="D16" s="52" t="s">
        <v>64</v>
      </c>
      <c r="E16" s="24">
        <f>E15+1</f>
        <v>39</v>
      </c>
      <c r="F16" s="29"/>
      <c r="G16" s="30" t="s">
        <v>70</v>
      </c>
      <c r="H16" s="27"/>
      <c r="I16" s="19"/>
    </row>
    <row r="17" spans="1:9" x14ac:dyDescent="0.25">
      <c r="A17" s="131"/>
      <c r="B17" s="132"/>
      <c r="C17" s="28" t="s">
        <v>11</v>
      </c>
      <c r="D17" s="53" t="s">
        <v>65</v>
      </c>
      <c r="E17" s="24">
        <f>E13+1</f>
        <v>42</v>
      </c>
      <c r="F17" s="29"/>
      <c r="G17" s="30" t="s">
        <v>9</v>
      </c>
      <c r="H17" s="27"/>
      <c r="I17" s="19"/>
    </row>
    <row r="18" spans="1:9" x14ac:dyDescent="0.25">
      <c r="A18" s="143"/>
      <c r="B18" s="143">
        <f>A18</f>
        <v>0</v>
      </c>
      <c r="C18" s="28" t="s">
        <v>12</v>
      </c>
      <c r="D18" s="52" t="s">
        <v>65</v>
      </c>
      <c r="E18" s="180">
        <f>IF(E13="","",MOD(E17+1,52))</f>
        <v>43</v>
      </c>
      <c r="F18" s="29"/>
      <c r="G18" s="30" t="s">
        <v>9</v>
      </c>
      <c r="H18" s="27"/>
      <c r="I18" s="19"/>
    </row>
    <row r="19" spans="1:9" x14ac:dyDescent="0.25">
      <c r="A19" s="131"/>
      <c r="B19" s="132"/>
      <c r="C19" s="28" t="s">
        <v>73</v>
      </c>
      <c r="D19" s="53" t="str">
        <f>D10</f>
        <v>_</v>
      </c>
      <c r="E19" s="24">
        <f>IF(E18="","",MOD(E18+1,52))</f>
        <v>44</v>
      </c>
      <c r="F19" s="29"/>
      <c r="G19" s="30" t="s">
        <v>9</v>
      </c>
      <c r="H19" s="27"/>
      <c r="I19" s="19"/>
    </row>
    <row r="20" spans="1:9" x14ac:dyDescent="0.25">
      <c r="A20" s="142"/>
      <c r="B20" s="143">
        <f>A20</f>
        <v>0</v>
      </c>
      <c r="C20" s="28" t="s">
        <v>59</v>
      </c>
      <c r="D20" s="52" t="s">
        <v>65</v>
      </c>
      <c r="E20" s="24">
        <f>IF(E19="","",MOD(E19+1,52))</f>
        <v>45</v>
      </c>
      <c r="F20" s="29"/>
      <c r="G20" s="30" t="s">
        <v>9</v>
      </c>
      <c r="H20" s="27"/>
      <c r="I20" s="19"/>
    </row>
    <row r="21" spans="1:9" x14ac:dyDescent="0.25">
      <c r="A21" s="142"/>
      <c r="B21" s="143">
        <f>A21</f>
        <v>0</v>
      </c>
      <c r="C21" s="28" t="s">
        <v>60</v>
      </c>
      <c r="D21" s="54" t="s">
        <v>65</v>
      </c>
      <c r="E21" s="24">
        <f>E20</f>
        <v>45</v>
      </c>
      <c r="F21" s="29"/>
      <c r="G21" s="30" t="s">
        <v>9</v>
      </c>
      <c r="H21" s="50"/>
      <c r="I21" s="19"/>
    </row>
    <row r="22" spans="1:9" x14ac:dyDescent="0.25">
      <c r="A22" s="131"/>
      <c r="B22" s="132"/>
      <c r="C22" s="167" t="s">
        <v>13</v>
      </c>
      <c r="D22" s="168" t="s">
        <v>65</v>
      </c>
      <c r="E22" s="169">
        <f>E20</f>
        <v>45</v>
      </c>
      <c r="F22" s="170"/>
      <c r="G22" s="171" t="s">
        <v>9</v>
      </c>
      <c r="H22" s="172"/>
      <c r="I22" s="19"/>
    </row>
    <row r="23" spans="1:9" x14ac:dyDescent="0.25">
      <c r="A23" s="143"/>
      <c r="B23" s="143">
        <f>A23</f>
        <v>0</v>
      </c>
      <c r="C23" s="32" t="s">
        <v>138</v>
      </c>
      <c r="D23" s="52" t="s">
        <v>65</v>
      </c>
      <c r="E23" s="24">
        <f>IF(E20="","",MOD(E20+2,52))</f>
        <v>47</v>
      </c>
      <c r="F23" s="29"/>
      <c r="G23" s="30" t="s">
        <v>9</v>
      </c>
      <c r="H23" s="27"/>
      <c r="I23" s="19"/>
    </row>
    <row r="24" spans="1:9" x14ac:dyDescent="0.25">
      <c r="A24" s="131"/>
      <c r="B24" s="132"/>
      <c r="C24" s="28" t="s">
        <v>14</v>
      </c>
      <c r="D24" s="53" t="str">
        <f>D17</f>
        <v>_</v>
      </c>
      <c r="E24" s="24">
        <f>IF(E20="","",MOD(E20+2,52))</f>
        <v>47</v>
      </c>
      <c r="F24" s="29"/>
      <c r="G24" s="30" t="s">
        <v>9</v>
      </c>
      <c r="H24" s="27"/>
      <c r="I24" s="19"/>
    </row>
    <row r="25" spans="1:9" x14ac:dyDescent="0.25">
      <c r="A25" s="143"/>
      <c r="B25" s="143">
        <f>A25</f>
        <v>0</v>
      </c>
      <c r="C25" s="183" t="s">
        <v>137</v>
      </c>
      <c r="D25" s="53" t="s">
        <v>65</v>
      </c>
      <c r="E25" s="24">
        <f>E23</f>
        <v>47</v>
      </c>
      <c r="F25" s="29"/>
      <c r="G25" s="72" t="s">
        <v>9</v>
      </c>
      <c r="H25" s="27"/>
      <c r="I25" s="19"/>
    </row>
    <row r="26" spans="1:9" x14ac:dyDescent="0.25">
      <c r="A26" s="131"/>
      <c r="B26" s="132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145"/>
      <c r="B27" s="146"/>
      <c r="C27" s="387" t="s">
        <v>144</v>
      </c>
      <c r="D27" s="388"/>
      <c r="E27" s="388"/>
      <c r="F27" s="388"/>
      <c r="G27" s="388"/>
      <c r="H27" s="389"/>
      <c r="I27" s="19"/>
    </row>
    <row r="28" spans="1:9" ht="15.75" thickBot="1" x14ac:dyDescent="0.3">
      <c r="A28" s="131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43"/>
      <c r="B29" s="143">
        <f>A29</f>
        <v>0</v>
      </c>
      <c r="C29" s="78" t="s">
        <v>66</v>
      </c>
      <c r="D29" s="52" t="s">
        <v>65</v>
      </c>
      <c r="E29" s="79">
        <f>IF(E24="","",MOD(E24+1,52))</f>
        <v>48</v>
      </c>
      <c r="F29" s="25"/>
      <c r="G29" s="26" t="s">
        <v>9</v>
      </c>
      <c r="H29" s="27"/>
      <c r="I29" s="19"/>
    </row>
    <row r="30" spans="1:9" x14ac:dyDescent="0.25">
      <c r="A30" s="143"/>
      <c r="B30" s="143">
        <f>A30</f>
        <v>0</v>
      </c>
      <c r="C30" s="28" t="s">
        <v>67</v>
      </c>
      <c r="D30" s="53" t="s">
        <v>65</v>
      </c>
      <c r="E30" s="24">
        <f>IF(E29="","",MOD(E29+1,52))</f>
        <v>49</v>
      </c>
      <c r="F30" s="29"/>
      <c r="G30" s="30"/>
      <c r="H30" s="27"/>
      <c r="I30" s="19"/>
    </row>
    <row r="31" spans="1:9" x14ac:dyDescent="0.25">
      <c r="A31" s="131"/>
      <c r="B31" s="132"/>
      <c r="C31" s="62" t="s">
        <v>16</v>
      </c>
      <c r="D31" s="52" t="str">
        <f>D29</f>
        <v>_</v>
      </c>
      <c r="E31" s="24">
        <f>IF(E30="","",MOD(E30+2,52))</f>
        <v>51</v>
      </c>
      <c r="F31" s="29"/>
      <c r="G31" s="30"/>
      <c r="H31" s="27"/>
      <c r="I31" s="19"/>
    </row>
    <row r="32" spans="1:9" x14ac:dyDescent="0.25">
      <c r="A32" s="143"/>
      <c r="B32" s="143">
        <f>A32</f>
        <v>0</v>
      </c>
      <c r="C32" s="80" t="s">
        <v>17</v>
      </c>
      <c r="D32" s="53" t="s">
        <v>65</v>
      </c>
      <c r="E32" s="24">
        <f>IF(E30="","",MOD(E30+2,52))</f>
        <v>51</v>
      </c>
      <c r="F32" s="29"/>
      <c r="G32" s="30"/>
      <c r="H32" s="27"/>
      <c r="I32" s="19"/>
    </row>
    <row r="33" spans="1:9" x14ac:dyDescent="0.25">
      <c r="A33" s="143"/>
      <c r="B33" s="143"/>
      <c r="C33" s="62" t="s">
        <v>140</v>
      </c>
      <c r="D33" s="52" t="s">
        <v>65</v>
      </c>
      <c r="E33" s="24">
        <f>IF(E32="","",MOD(E32+1,52))</f>
        <v>0</v>
      </c>
      <c r="F33" s="29"/>
      <c r="G33" s="30"/>
      <c r="H33" s="27"/>
      <c r="I33" s="19"/>
    </row>
    <row r="34" spans="1:9" x14ac:dyDescent="0.25">
      <c r="A34" s="143"/>
      <c r="B34" s="143">
        <f>A34</f>
        <v>0</v>
      </c>
      <c r="C34" s="28" t="s">
        <v>141</v>
      </c>
      <c r="D34" s="53" t="s">
        <v>65</v>
      </c>
      <c r="E34" s="24">
        <f>IF(E32="","",MOD(E32+1,52))</f>
        <v>0</v>
      </c>
      <c r="F34" s="29"/>
      <c r="G34" s="30"/>
      <c r="H34" s="27"/>
      <c r="I34" s="19"/>
    </row>
    <row r="35" spans="1:9" x14ac:dyDescent="0.25">
      <c r="A35" s="131"/>
      <c r="B35" s="13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143"/>
      <c r="B36" s="143">
        <f>A36</f>
        <v>0</v>
      </c>
      <c r="C36" s="28" t="s">
        <v>19</v>
      </c>
      <c r="D36" s="53" t="s">
        <v>65</v>
      </c>
      <c r="E36" s="24">
        <f>IF(E34="","",MOD(E34+1,52))</f>
        <v>1</v>
      </c>
      <c r="F36" s="29"/>
      <c r="G36" s="30"/>
      <c r="H36" s="27"/>
      <c r="I36" s="19"/>
    </row>
    <row r="37" spans="1:9" x14ac:dyDescent="0.25">
      <c r="A37" s="131"/>
      <c r="B37" s="132"/>
      <c r="C37" s="28" t="s">
        <v>20</v>
      </c>
      <c r="D37" s="52" t="str">
        <f>D30</f>
        <v>_</v>
      </c>
      <c r="E37" s="24">
        <f>IF(E36="","",MOD(E36+1,52))</f>
        <v>2</v>
      </c>
      <c r="F37" s="29"/>
      <c r="G37" s="30"/>
      <c r="H37" s="27"/>
      <c r="I37" s="19"/>
    </row>
    <row r="38" spans="1:9" x14ac:dyDescent="0.25">
      <c r="A38" s="131"/>
      <c r="B38" s="132"/>
      <c r="C38" s="28" t="s">
        <v>21</v>
      </c>
      <c r="D38" s="53" t="str">
        <f>D29</f>
        <v>_</v>
      </c>
      <c r="E38" s="24">
        <f>IF(E37="","",MOD(E37+1,52))</f>
        <v>3</v>
      </c>
      <c r="F38" s="29"/>
      <c r="G38" s="30" t="s">
        <v>9</v>
      </c>
      <c r="H38" s="27"/>
      <c r="I38" s="19"/>
    </row>
    <row r="39" spans="1:9" x14ac:dyDescent="0.25">
      <c r="A39" s="131"/>
      <c r="B39" s="132"/>
      <c r="C39" s="28" t="s">
        <v>22</v>
      </c>
      <c r="D39" s="52" t="str">
        <f>D32</f>
        <v>_</v>
      </c>
      <c r="E39" s="24">
        <f>IF(E37="","",MOD(E37+1,52))</f>
        <v>3</v>
      </c>
      <c r="F39" s="29"/>
      <c r="G39" s="30"/>
      <c r="H39" s="27"/>
      <c r="I39" s="19"/>
    </row>
    <row r="40" spans="1:9" x14ac:dyDescent="0.25">
      <c r="A40" s="131"/>
      <c r="B40" s="132"/>
      <c r="C40" s="28" t="s">
        <v>23</v>
      </c>
      <c r="D40" s="53" t="s">
        <v>64</v>
      </c>
      <c r="E40" s="24">
        <f>E36+4</f>
        <v>5</v>
      </c>
      <c r="F40" s="29"/>
      <c r="G40" s="30" t="s">
        <v>70</v>
      </c>
      <c r="H40" s="27"/>
      <c r="I40" s="19"/>
    </row>
    <row r="41" spans="1:9" x14ac:dyDescent="0.25">
      <c r="A41" s="131"/>
      <c r="B41" s="132"/>
      <c r="C41" s="28" t="s">
        <v>24</v>
      </c>
      <c r="D41" s="52" t="s">
        <v>64</v>
      </c>
      <c r="E41" s="24">
        <f>E39+1</f>
        <v>4</v>
      </c>
      <c r="F41" s="29"/>
      <c r="G41" s="30" t="s">
        <v>70</v>
      </c>
      <c r="H41" s="27"/>
      <c r="I41" s="19"/>
    </row>
    <row r="42" spans="1:9" x14ac:dyDescent="0.25">
      <c r="A42" s="131"/>
      <c r="B42" s="132"/>
      <c r="C42" s="28" t="s">
        <v>25</v>
      </c>
      <c r="D42" s="53" t="str">
        <f>D34</f>
        <v>_</v>
      </c>
      <c r="E42" s="24">
        <f>IF(E40="","",MOD(E40+2,52))</f>
        <v>7</v>
      </c>
      <c r="F42" s="29"/>
      <c r="G42" s="30"/>
      <c r="H42" s="27"/>
      <c r="I42" s="19"/>
    </row>
    <row r="43" spans="1:9" x14ac:dyDescent="0.25">
      <c r="A43" s="143"/>
      <c r="B43" s="143">
        <f>A43</f>
        <v>0</v>
      </c>
      <c r="C43" s="81" t="s">
        <v>147</v>
      </c>
      <c r="D43" s="52" t="s">
        <v>65</v>
      </c>
      <c r="E43" s="82">
        <f>E44</f>
        <v>7</v>
      </c>
      <c r="F43" s="83"/>
      <c r="G43" s="72"/>
      <c r="H43" s="27"/>
      <c r="I43" s="19"/>
    </row>
    <row r="44" spans="1:9" x14ac:dyDescent="0.25">
      <c r="A44" s="143"/>
      <c r="B44" s="143">
        <f>A44</f>
        <v>0</v>
      </c>
      <c r="C44" s="81" t="s">
        <v>139</v>
      </c>
      <c r="D44" s="193" t="s">
        <v>65</v>
      </c>
      <c r="E44" s="82">
        <f>IF(E40="","",MOD(E40+2,52))</f>
        <v>7</v>
      </c>
      <c r="F44" s="83"/>
      <c r="G44" s="72"/>
      <c r="H44" s="194"/>
      <c r="I44" s="19"/>
    </row>
    <row r="45" spans="1:9" x14ac:dyDescent="0.25">
      <c r="A45" s="131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145"/>
      <c r="B46" s="146"/>
      <c r="C46" s="387" t="s">
        <v>146</v>
      </c>
      <c r="D46" s="388"/>
      <c r="E46" s="388"/>
      <c r="F46" s="388"/>
      <c r="G46" s="388"/>
      <c r="H46" s="389"/>
      <c r="I46" s="19"/>
    </row>
    <row r="47" spans="1:9" ht="15.75" thickBot="1" x14ac:dyDescent="0.3">
      <c r="A47" s="131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143"/>
      <c r="B48" s="143">
        <f>A48</f>
        <v>0</v>
      </c>
      <c r="C48" s="88" t="s">
        <v>26</v>
      </c>
      <c r="D48" s="52" t="s">
        <v>65</v>
      </c>
      <c r="E48" s="89">
        <f>E32+1</f>
        <v>52</v>
      </c>
      <c r="F48" s="25"/>
      <c r="G48" s="26"/>
      <c r="H48" s="27"/>
      <c r="I48" s="19"/>
    </row>
    <row r="49" spans="1:9" x14ac:dyDescent="0.25">
      <c r="A49" s="133"/>
      <c r="B49" s="173"/>
      <c r="C49" s="102" t="s">
        <v>69</v>
      </c>
      <c r="D49" s="103" t="s">
        <v>64</v>
      </c>
      <c r="E49" s="104">
        <f>E48</f>
        <v>52</v>
      </c>
      <c r="F49" s="105"/>
      <c r="G49" s="106" t="s">
        <v>70</v>
      </c>
      <c r="H49" s="27"/>
      <c r="I49" s="19"/>
    </row>
    <row r="50" spans="1:9" x14ac:dyDescent="0.25">
      <c r="A50" s="133"/>
      <c r="B50" s="173"/>
      <c r="C50" s="92" t="s">
        <v>61</v>
      </c>
      <c r="D50" s="99" t="s">
        <v>68</v>
      </c>
      <c r="E50" s="101">
        <f>E48+1</f>
        <v>53</v>
      </c>
      <c r="F50" s="95"/>
      <c r="G50" s="96" t="s">
        <v>9</v>
      </c>
      <c r="H50" s="97"/>
      <c r="I50" s="19"/>
    </row>
    <row r="51" spans="1:9" x14ac:dyDescent="0.25">
      <c r="A51" s="133"/>
      <c r="B51" s="173"/>
      <c r="C51" s="91" t="s">
        <v>27</v>
      </c>
      <c r="D51" s="52" t="str">
        <f>D48</f>
        <v>_</v>
      </c>
      <c r="E51" s="90">
        <f>E48+3</f>
        <v>55</v>
      </c>
      <c r="F51" s="29"/>
      <c r="G51" s="72"/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7" t="s">
        <v>142</v>
      </c>
      <c r="I54" s="19"/>
    </row>
    <row r="55" spans="1:9" x14ac:dyDescent="0.25">
      <c r="A55" s="42"/>
      <c r="B55" s="126"/>
      <c r="C55" s="43" t="s">
        <v>122</v>
      </c>
      <c r="D55" s="107"/>
      <c r="E55" s="44"/>
      <c r="F55" s="45"/>
      <c r="G55" s="18"/>
      <c r="H55" s="398"/>
      <c r="I55" s="19"/>
    </row>
    <row r="56" spans="1:9" x14ac:dyDescent="0.25">
      <c r="A56" s="42"/>
      <c r="B56" s="126"/>
      <c r="C56" s="33" t="s">
        <v>123</v>
      </c>
      <c r="D56" s="49"/>
      <c r="E56" s="46"/>
      <c r="F56" s="2"/>
      <c r="G56" s="18"/>
      <c r="H56" s="399" t="str">
        <f>DATEDIF(E3,D58,"m")&amp;"mois"&amp;DATEDIF(E3,D58,"md")&amp;"jours"</f>
        <v>0mois0jours</v>
      </c>
      <c r="I56" s="19"/>
    </row>
    <row r="57" spans="1:9" ht="15.75" thickBot="1" x14ac:dyDescent="0.3">
      <c r="A57" s="42"/>
      <c r="B57" s="126"/>
      <c r="C57" s="33" t="s">
        <v>31</v>
      </c>
      <c r="D57" s="176"/>
      <c r="E57" s="46"/>
      <c r="F57" s="2"/>
      <c r="G57" s="18"/>
      <c r="H57" s="400"/>
      <c r="I57" s="19"/>
    </row>
    <row r="58" spans="1:9" x14ac:dyDescent="0.25">
      <c r="A58" s="42"/>
      <c r="B58" s="126"/>
      <c r="C58" s="47" t="s">
        <v>32</v>
      </c>
      <c r="D58" s="184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1"/>
      <c r="D60" s="371"/>
      <c r="E60" s="371"/>
      <c r="F60" s="371"/>
      <c r="G60" s="371"/>
      <c r="H60" s="371"/>
      <c r="I60" s="372"/>
    </row>
    <row r="61" spans="1:9" x14ac:dyDescent="0.25">
      <c r="A61" s="34"/>
      <c r="B61" s="18"/>
      <c r="C61" s="373"/>
      <c r="D61" s="373"/>
      <c r="E61" s="373"/>
      <c r="F61" s="373"/>
      <c r="G61" s="373"/>
      <c r="H61" s="373"/>
      <c r="I61" s="374"/>
    </row>
    <row r="62" spans="1:9" x14ac:dyDescent="0.25">
      <c r="A62" s="34"/>
      <c r="B62" s="18"/>
      <c r="C62" s="373"/>
      <c r="D62" s="373"/>
      <c r="E62" s="373"/>
      <c r="F62" s="373"/>
      <c r="G62" s="373"/>
      <c r="H62" s="373"/>
      <c r="I62" s="374"/>
    </row>
    <row r="63" spans="1:9" x14ac:dyDescent="0.25">
      <c r="A63" s="34"/>
      <c r="B63" s="18"/>
      <c r="C63" s="373"/>
      <c r="D63" s="373"/>
      <c r="E63" s="373"/>
      <c r="F63" s="373"/>
      <c r="G63" s="373"/>
      <c r="H63" s="373"/>
      <c r="I63" s="374"/>
    </row>
    <row r="64" spans="1:9" x14ac:dyDescent="0.25">
      <c r="A64" s="34"/>
      <c r="B64" s="18"/>
      <c r="C64" s="373"/>
      <c r="D64" s="373"/>
      <c r="E64" s="373"/>
      <c r="F64" s="373"/>
      <c r="G64" s="373"/>
      <c r="H64" s="373"/>
      <c r="I64" s="374"/>
    </row>
    <row r="65" spans="1:9" x14ac:dyDescent="0.25">
      <c r="A65" s="44"/>
      <c r="B65" s="45"/>
      <c r="C65" s="375"/>
      <c r="D65" s="375"/>
      <c r="E65" s="375"/>
      <c r="F65" s="375"/>
      <c r="G65" s="375"/>
      <c r="H65" s="375"/>
      <c r="I65" s="376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A1:G1"/>
    <mergeCell ref="A2:B2"/>
    <mergeCell ref="E2:F2"/>
    <mergeCell ref="H2:I2"/>
    <mergeCell ref="A3:B3"/>
    <mergeCell ref="E3:F3"/>
    <mergeCell ref="H3:I3"/>
    <mergeCell ref="H54:H55"/>
    <mergeCell ref="H56:H57"/>
    <mergeCell ref="C60:I65"/>
    <mergeCell ref="E4:F4"/>
    <mergeCell ref="A5:B5"/>
    <mergeCell ref="A6:B6"/>
    <mergeCell ref="C6:H6"/>
    <mergeCell ref="C27:H27"/>
    <mergeCell ref="C46:H46"/>
  </mergeCells>
  <conditionalFormatting sqref="C52:G52">
    <cfRule type="expression" dxfId="2164" priority="70">
      <formula>$F52="réalisé"</formula>
    </cfRule>
  </conditionalFormatting>
  <conditionalFormatting sqref="C48:C51 E48:H51 E29:H45 C8:H26">
    <cfRule type="expression" dxfId="2163" priority="67">
      <formula>$G8="réalisé"</formula>
    </cfRule>
    <cfRule type="expression" dxfId="2162" priority="68">
      <formula>$G8="en cours"</formula>
    </cfRule>
    <cfRule type="expression" dxfId="2161" priority="69">
      <formula>$G8="non compris"</formula>
    </cfRule>
  </conditionalFormatting>
  <conditionalFormatting sqref="C29:C45">
    <cfRule type="expression" dxfId="2160" priority="64">
      <formula>$G29="réalisé"</formula>
    </cfRule>
    <cfRule type="expression" dxfId="2159" priority="65">
      <formula>$G29="en cours"</formula>
    </cfRule>
    <cfRule type="expression" dxfId="2158" priority="66">
      <formula>$G29="non compris"</formula>
    </cfRule>
  </conditionalFormatting>
  <conditionalFormatting sqref="C55:F58">
    <cfRule type="expression" dxfId="2157" priority="63">
      <formula>$F55="réalisé"</formula>
    </cfRule>
  </conditionalFormatting>
  <conditionalFormatting sqref="G9">
    <cfRule type="expression" dxfId="2156" priority="62">
      <formula>$G$10="réalisé"</formula>
    </cfRule>
  </conditionalFormatting>
  <conditionalFormatting sqref="G10:G14">
    <cfRule type="expression" dxfId="2155" priority="61">
      <formula>$G$15="réalisé"</formula>
    </cfRule>
  </conditionalFormatting>
  <conditionalFormatting sqref="G20:G21">
    <cfRule type="expression" dxfId="2154" priority="60">
      <formula>$G$22="réalisé"</formula>
    </cfRule>
  </conditionalFormatting>
  <conditionalFormatting sqref="G30">
    <cfRule type="expression" dxfId="2153" priority="59">
      <formula>$G$31="réalisé"</formula>
    </cfRule>
  </conditionalFormatting>
  <conditionalFormatting sqref="D29">
    <cfRule type="expression" dxfId="2152" priority="56">
      <formula>$G29="réalisé"</formula>
    </cfRule>
    <cfRule type="expression" dxfId="2151" priority="57">
      <formula>$G29="en cours"</formula>
    </cfRule>
    <cfRule type="expression" dxfId="2150" priority="58">
      <formula>$G29="non compris"</formula>
    </cfRule>
  </conditionalFormatting>
  <conditionalFormatting sqref="D31">
    <cfRule type="expression" dxfId="2149" priority="53">
      <formula>$G31="réalisé"</formula>
    </cfRule>
    <cfRule type="expression" dxfId="2148" priority="54">
      <formula>$G31="en cours"</formula>
    </cfRule>
    <cfRule type="expression" dxfId="2147" priority="55">
      <formula>$G31="non compris"</formula>
    </cfRule>
  </conditionalFormatting>
  <conditionalFormatting sqref="D33">
    <cfRule type="expression" dxfId="2146" priority="50">
      <formula>$G33="réalisé"</formula>
    </cfRule>
    <cfRule type="expression" dxfId="2145" priority="51">
      <formula>$G33="en cours"</formula>
    </cfRule>
    <cfRule type="expression" dxfId="2144" priority="52">
      <formula>$G33="non compris"</formula>
    </cfRule>
  </conditionalFormatting>
  <conditionalFormatting sqref="D35">
    <cfRule type="expression" dxfId="2143" priority="47">
      <formula>$G35="réalisé"</formula>
    </cfRule>
    <cfRule type="expression" dxfId="2142" priority="48">
      <formula>$G35="en cours"</formula>
    </cfRule>
    <cfRule type="expression" dxfId="2141" priority="49">
      <formula>$G35="non compris"</formula>
    </cfRule>
  </conditionalFormatting>
  <conditionalFormatting sqref="D37">
    <cfRule type="expression" dxfId="2140" priority="44">
      <formula>$G37="réalisé"</formula>
    </cfRule>
    <cfRule type="expression" dxfId="2139" priority="45">
      <formula>$G37="en cours"</formula>
    </cfRule>
    <cfRule type="expression" dxfId="2138" priority="46">
      <formula>$G37="non compris"</formula>
    </cfRule>
  </conditionalFormatting>
  <conditionalFormatting sqref="D39">
    <cfRule type="expression" dxfId="2137" priority="41">
      <formula>$G39="réalisé"</formula>
    </cfRule>
    <cfRule type="expression" dxfId="2136" priority="42">
      <formula>$G39="en cours"</formula>
    </cfRule>
    <cfRule type="expression" dxfId="2135" priority="43">
      <formula>$G39="non compris"</formula>
    </cfRule>
  </conditionalFormatting>
  <conditionalFormatting sqref="D41">
    <cfRule type="expression" dxfId="2134" priority="38">
      <formula>$G41="réalisé"</formula>
    </cfRule>
    <cfRule type="expression" dxfId="2133" priority="39">
      <formula>$G41="en cours"</formula>
    </cfRule>
    <cfRule type="expression" dxfId="2132" priority="40">
      <formula>$G41="non compris"</formula>
    </cfRule>
  </conditionalFormatting>
  <conditionalFormatting sqref="D44:D45">
    <cfRule type="expression" dxfId="2131" priority="35">
      <formula>$G44="réalisé"</formula>
    </cfRule>
    <cfRule type="expression" dxfId="2130" priority="36">
      <formula>$G44="en cours"</formula>
    </cfRule>
    <cfRule type="expression" dxfId="2129" priority="37">
      <formula>$G44="non compris"</formula>
    </cfRule>
  </conditionalFormatting>
  <conditionalFormatting sqref="D30">
    <cfRule type="expression" dxfId="2128" priority="32">
      <formula>$G30="réalisé"</formula>
    </cfRule>
    <cfRule type="expression" dxfId="2127" priority="33">
      <formula>$G30="en cours"</formula>
    </cfRule>
    <cfRule type="expression" dxfId="2126" priority="34">
      <formula>$G30="non compris"</formula>
    </cfRule>
  </conditionalFormatting>
  <conditionalFormatting sqref="D32">
    <cfRule type="expression" dxfId="2125" priority="29">
      <formula>$G32="réalisé"</formula>
    </cfRule>
    <cfRule type="expression" dxfId="2124" priority="30">
      <formula>$G32="en cours"</formula>
    </cfRule>
    <cfRule type="expression" dxfId="2123" priority="31">
      <formula>$G32="non compris"</formula>
    </cfRule>
  </conditionalFormatting>
  <conditionalFormatting sqref="D34">
    <cfRule type="expression" dxfId="2122" priority="26">
      <formula>$G34="réalisé"</formula>
    </cfRule>
    <cfRule type="expression" dxfId="2121" priority="27">
      <formula>$G34="en cours"</formula>
    </cfRule>
    <cfRule type="expression" dxfId="2120" priority="28">
      <formula>$G34="non compris"</formula>
    </cfRule>
  </conditionalFormatting>
  <conditionalFormatting sqref="D36">
    <cfRule type="expression" dxfId="2119" priority="23">
      <formula>$G36="réalisé"</formula>
    </cfRule>
    <cfRule type="expression" dxfId="2118" priority="24">
      <formula>$G36="en cours"</formula>
    </cfRule>
    <cfRule type="expression" dxfId="2117" priority="25">
      <formula>$G36="non compris"</formula>
    </cfRule>
  </conditionalFormatting>
  <conditionalFormatting sqref="D38">
    <cfRule type="expression" dxfId="2116" priority="20">
      <formula>$G38="réalisé"</formula>
    </cfRule>
    <cfRule type="expression" dxfId="2115" priority="21">
      <formula>$G38="en cours"</formula>
    </cfRule>
    <cfRule type="expression" dxfId="2114" priority="22">
      <formula>$G38="non compris"</formula>
    </cfRule>
  </conditionalFormatting>
  <conditionalFormatting sqref="D40">
    <cfRule type="expression" dxfId="2113" priority="17">
      <formula>$G40="réalisé"</formula>
    </cfRule>
    <cfRule type="expression" dxfId="2112" priority="18">
      <formula>$G40="en cours"</formula>
    </cfRule>
    <cfRule type="expression" dxfId="2111" priority="19">
      <formula>$G40="non compris"</formula>
    </cfRule>
  </conditionalFormatting>
  <conditionalFormatting sqref="D42:D43">
    <cfRule type="expression" dxfId="2110" priority="14">
      <formula>$G42="réalisé"</formula>
    </cfRule>
    <cfRule type="expression" dxfId="2109" priority="15">
      <formula>$G42="en cours"</formula>
    </cfRule>
    <cfRule type="expression" dxfId="2108" priority="16">
      <formula>$G42="non compris"</formula>
    </cfRule>
  </conditionalFormatting>
  <conditionalFormatting sqref="D50">
    <cfRule type="expression" dxfId="2107" priority="11">
      <formula>$G50="réalisé"</formula>
    </cfRule>
    <cfRule type="expression" dxfId="2106" priority="12">
      <formula>$G50="en cours"</formula>
    </cfRule>
    <cfRule type="expression" dxfId="2105" priority="13">
      <formula>$G50="non compris"</formula>
    </cfRule>
  </conditionalFormatting>
  <conditionalFormatting sqref="D49">
    <cfRule type="expression" dxfId="2104" priority="8">
      <formula>$G49="réalisé"</formula>
    </cfRule>
    <cfRule type="expression" dxfId="2103" priority="9">
      <formula>$G49="en cours"</formula>
    </cfRule>
    <cfRule type="expression" dxfId="2102" priority="10">
      <formula>$G49="non compris"</formula>
    </cfRule>
  </conditionalFormatting>
  <conditionalFormatting sqref="D48">
    <cfRule type="expression" dxfId="2101" priority="5">
      <formula>$G48="réalisé"</formula>
    </cfRule>
    <cfRule type="expression" dxfId="2100" priority="6">
      <formula>$G48="en cours"</formula>
    </cfRule>
    <cfRule type="expression" dxfId="2099" priority="7">
      <formula>$G48="non compris"</formula>
    </cfRule>
  </conditionalFormatting>
  <conditionalFormatting sqref="D51">
    <cfRule type="expression" dxfId="2098" priority="2">
      <formula>$G51="réalisé"</formula>
    </cfRule>
    <cfRule type="expression" dxfId="2097" priority="3">
      <formula>$G51="en cours"</formula>
    </cfRule>
    <cfRule type="expression" dxfId="2096" priority="4">
      <formula>$G51="non compris"</formula>
    </cfRule>
  </conditionalFormatting>
  <conditionalFormatting sqref="D8:D26">
    <cfRule type="expression" dxfId="2095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50"/>
    <pageSetUpPr fitToPage="1"/>
  </sheetPr>
  <dimension ref="A1:I74"/>
  <sheetViews>
    <sheetView topLeftCell="A13" zoomScaleNormal="100" workbookViewId="0">
      <selection activeCell="E25" sqref="E25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7" t="s">
        <v>0</v>
      </c>
      <c r="B1" s="378"/>
      <c r="C1" s="378"/>
      <c r="D1" s="378"/>
      <c r="E1" s="378"/>
      <c r="F1" s="378"/>
      <c r="G1" s="378"/>
      <c r="H1" s="1" t="s">
        <v>1</v>
      </c>
      <c r="I1" s="3">
        <f ca="1">INT(MOD(INT((LISTE!D1-2)/7)+0.6,52+5/28))+1</f>
        <v>41</v>
      </c>
    </row>
    <row r="2" spans="1:9" x14ac:dyDescent="0.25">
      <c r="A2" s="390" t="s">
        <v>2</v>
      </c>
      <c r="B2" s="391"/>
      <c r="C2" s="70" t="str">
        <f ca="1">MID(CELL("nomfichier",A1),FIND("]",CELL("nomfichier",A1),1)+1,30)</f>
        <v>LEHMANN-VIXX</v>
      </c>
      <c r="D2" s="4" t="s">
        <v>72</v>
      </c>
      <c r="E2" s="379">
        <v>43158</v>
      </c>
      <c r="F2" s="379"/>
      <c r="G2" s="5"/>
      <c r="H2" s="380" t="s">
        <v>143</v>
      </c>
      <c r="I2" s="381"/>
    </row>
    <row r="3" spans="1:9" ht="15.75" x14ac:dyDescent="0.25">
      <c r="A3" s="392" t="s">
        <v>106</v>
      </c>
      <c r="B3" s="384"/>
      <c r="C3" s="6" t="s">
        <v>235</v>
      </c>
      <c r="D3" s="7" t="s">
        <v>3</v>
      </c>
      <c r="E3" s="382">
        <v>43244</v>
      </c>
      <c r="F3" s="383"/>
      <c r="G3" s="8"/>
      <c r="H3" s="384" t="str">
        <f ca="1">DATEDIF(E3,TODAY(),"m")&amp;"mois"&amp;-DATEDIF(E3,TODAY(),"md")&amp;"jours"</f>
        <v>4mois-18jours</v>
      </c>
      <c r="I3" s="385"/>
    </row>
    <row r="4" spans="1:9" ht="18.75" x14ac:dyDescent="0.25">
      <c r="A4" s="69" t="s">
        <v>117</v>
      </c>
      <c r="B4" s="129"/>
      <c r="C4" s="9" t="s">
        <v>121</v>
      </c>
      <c r="D4" s="10" t="s">
        <v>4</v>
      </c>
      <c r="E4" s="386">
        <f>E3+60</f>
        <v>43304</v>
      </c>
      <c r="F4" s="386"/>
      <c r="G4" s="11"/>
      <c r="H4" s="12"/>
      <c r="I4" s="13"/>
    </row>
    <row r="5" spans="1:9" x14ac:dyDescent="0.25">
      <c r="A5" s="393" t="s">
        <v>76</v>
      </c>
      <c r="B5" s="394"/>
      <c r="C5" s="15"/>
      <c r="D5" s="16"/>
      <c r="E5" s="15"/>
      <c r="F5" s="15"/>
      <c r="G5" s="17"/>
      <c r="H5" s="18"/>
      <c r="I5" s="19"/>
    </row>
    <row r="6" spans="1:9" ht="18.75" x14ac:dyDescent="0.3">
      <c r="A6" s="395" t="s">
        <v>75</v>
      </c>
      <c r="B6" s="396"/>
      <c r="C6" s="387" t="s">
        <v>145</v>
      </c>
      <c r="D6" s="388"/>
      <c r="E6" s="388"/>
      <c r="F6" s="388"/>
      <c r="G6" s="388"/>
      <c r="H6" s="389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22"/>
      <c r="B8" s="200"/>
      <c r="C8" s="28" t="s">
        <v>124</v>
      </c>
      <c r="D8" s="52" t="s">
        <v>38</v>
      </c>
      <c r="E8" s="180">
        <v>21</v>
      </c>
      <c r="F8" s="25"/>
      <c r="G8" s="26" t="s">
        <v>36</v>
      </c>
      <c r="H8" s="27"/>
      <c r="I8" s="19"/>
    </row>
    <row r="9" spans="1:9" x14ac:dyDescent="0.25">
      <c r="A9" s="122"/>
      <c r="B9" s="130"/>
      <c r="C9" s="28" t="s">
        <v>131</v>
      </c>
      <c r="D9" s="53" t="str">
        <f>D8</f>
        <v>TEMA</v>
      </c>
      <c r="E9" s="181">
        <f>E8+1</f>
        <v>22</v>
      </c>
      <c r="F9" s="29"/>
      <c r="G9" s="30" t="s">
        <v>36</v>
      </c>
      <c r="H9" s="27"/>
      <c r="I9" s="19"/>
    </row>
    <row r="10" spans="1:9" ht="15" customHeight="1" x14ac:dyDescent="0.25">
      <c r="A10" s="131"/>
      <c r="B10" s="182"/>
      <c r="C10" s="28" t="s">
        <v>132</v>
      </c>
      <c r="D10" s="52" t="str">
        <f>D9</f>
        <v>TEMA</v>
      </c>
      <c r="E10" s="180">
        <f>E9</f>
        <v>22</v>
      </c>
      <c r="F10" s="31"/>
      <c r="G10" s="30" t="s">
        <v>36</v>
      </c>
      <c r="H10" s="27"/>
      <c r="I10" s="19"/>
    </row>
    <row r="11" spans="1:9" ht="15" customHeight="1" x14ac:dyDescent="0.25">
      <c r="A11" s="131"/>
      <c r="B11" s="132"/>
      <c r="C11" s="28" t="s">
        <v>133</v>
      </c>
      <c r="D11" s="54" t="str">
        <f>D8</f>
        <v>TEMA</v>
      </c>
      <c r="E11" s="180">
        <f>E10+1</f>
        <v>23</v>
      </c>
      <c r="F11" s="31"/>
      <c r="G11" s="30" t="s">
        <v>36</v>
      </c>
      <c r="H11" s="27"/>
      <c r="I11" s="19"/>
    </row>
    <row r="12" spans="1:9" ht="15" customHeight="1" x14ac:dyDescent="0.25">
      <c r="A12" s="144">
        <f>13237.93-2329.75</f>
        <v>10908.18</v>
      </c>
      <c r="B12" s="143">
        <f>A12-6618.97-4289.21</f>
        <v>0</v>
      </c>
      <c r="C12" s="28" t="s">
        <v>134</v>
      </c>
      <c r="D12" s="54" t="str">
        <f t="shared" ref="D12:D14" si="0">D9</f>
        <v>TEMA</v>
      </c>
      <c r="E12" s="180">
        <f>E11+2</f>
        <v>25</v>
      </c>
      <c r="F12" s="31"/>
      <c r="G12" s="30" t="s">
        <v>36</v>
      </c>
      <c r="H12" s="27"/>
      <c r="I12" s="19"/>
    </row>
    <row r="13" spans="1:9" ht="15" customHeight="1" x14ac:dyDescent="0.25">
      <c r="A13" s="131"/>
      <c r="B13" s="132"/>
      <c r="C13" s="28" t="s">
        <v>135</v>
      </c>
      <c r="D13" s="54" t="str">
        <f t="shared" si="0"/>
        <v>TEMA</v>
      </c>
      <c r="E13" s="180">
        <f>E12+1</f>
        <v>26</v>
      </c>
      <c r="F13" s="31"/>
      <c r="G13" s="30" t="s">
        <v>36</v>
      </c>
      <c r="H13" s="27"/>
      <c r="I13" s="19"/>
    </row>
    <row r="14" spans="1:9" ht="15" customHeight="1" x14ac:dyDescent="0.25">
      <c r="A14" s="131"/>
      <c r="B14" s="132"/>
      <c r="C14" s="28" t="s">
        <v>136</v>
      </c>
      <c r="D14" s="54" t="str">
        <f t="shared" si="0"/>
        <v>TEMA</v>
      </c>
      <c r="E14" s="180">
        <f>E13</f>
        <v>26</v>
      </c>
      <c r="F14" s="31"/>
      <c r="G14" s="30" t="s">
        <v>36</v>
      </c>
      <c r="H14" s="27"/>
      <c r="I14" s="19"/>
    </row>
    <row r="15" spans="1:9" x14ac:dyDescent="0.25">
      <c r="A15" s="131"/>
      <c r="B15" s="132"/>
      <c r="C15" s="28" t="s">
        <v>62</v>
      </c>
      <c r="D15" s="53" t="s">
        <v>64</v>
      </c>
      <c r="E15" s="24">
        <f>E10+4</f>
        <v>26</v>
      </c>
      <c r="F15" s="29"/>
      <c r="G15" s="30" t="s">
        <v>70</v>
      </c>
      <c r="H15" s="27"/>
      <c r="I15" s="19"/>
    </row>
    <row r="16" spans="1:9" x14ac:dyDescent="0.25">
      <c r="A16" s="131"/>
      <c r="B16" s="132"/>
      <c r="C16" s="28" t="s">
        <v>10</v>
      </c>
      <c r="D16" s="52" t="s">
        <v>64</v>
      </c>
      <c r="E16" s="24">
        <f>E10+1</f>
        <v>23</v>
      </c>
      <c r="F16" s="29"/>
      <c r="G16" s="30" t="s">
        <v>70</v>
      </c>
      <c r="H16" s="27"/>
      <c r="I16" s="19"/>
    </row>
    <row r="17" spans="1:9" x14ac:dyDescent="0.25">
      <c r="A17" s="131"/>
      <c r="B17" s="132"/>
      <c r="C17" s="28" t="s">
        <v>11</v>
      </c>
      <c r="D17" s="53" t="s">
        <v>38</v>
      </c>
      <c r="E17" s="24">
        <v>27</v>
      </c>
      <c r="F17" s="29"/>
      <c r="G17" s="30" t="s">
        <v>36</v>
      </c>
      <c r="H17" s="27"/>
      <c r="I17" s="19"/>
    </row>
    <row r="18" spans="1:9" x14ac:dyDescent="0.25">
      <c r="A18" s="144">
        <v>546.37</v>
      </c>
      <c r="B18" s="143">
        <f>A18-546.37</f>
        <v>0</v>
      </c>
      <c r="C18" s="28" t="s">
        <v>12</v>
      </c>
      <c r="D18" s="52" t="s">
        <v>41</v>
      </c>
      <c r="E18" s="180">
        <v>27</v>
      </c>
      <c r="F18" s="29"/>
      <c r="G18" s="30" t="s">
        <v>36</v>
      </c>
      <c r="H18" s="27"/>
      <c r="I18" s="19"/>
    </row>
    <row r="19" spans="1:9" x14ac:dyDescent="0.25">
      <c r="A19" s="131"/>
      <c r="B19" s="132"/>
      <c r="C19" s="28" t="s">
        <v>73</v>
      </c>
      <c r="D19" s="53" t="str">
        <f>D10</f>
        <v>TEMA</v>
      </c>
      <c r="E19" s="24">
        <f>IF(E18="","",MOD(E18+1,52))</f>
        <v>28</v>
      </c>
      <c r="F19" s="29"/>
      <c r="G19" s="30" t="s">
        <v>36</v>
      </c>
      <c r="H19" s="27"/>
      <c r="I19" s="19"/>
    </row>
    <row r="20" spans="1:9" x14ac:dyDescent="0.25">
      <c r="A20" s="149">
        <v>639.52</v>
      </c>
      <c r="B20" s="143">
        <f>A20-639.52</f>
        <v>0</v>
      </c>
      <c r="C20" s="28" t="s">
        <v>59</v>
      </c>
      <c r="D20" s="52" t="s">
        <v>41</v>
      </c>
      <c r="E20" s="24">
        <v>29</v>
      </c>
      <c r="F20" s="29"/>
      <c r="G20" s="30" t="s">
        <v>36</v>
      </c>
      <c r="H20" s="27"/>
      <c r="I20" s="19"/>
    </row>
    <row r="21" spans="1:9" x14ac:dyDescent="0.25">
      <c r="A21" s="149">
        <v>523.24</v>
      </c>
      <c r="B21" s="143">
        <f>A21-523.24</f>
        <v>0</v>
      </c>
      <c r="C21" s="28" t="s">
        <v>60</v>
      </c>
      <c r="D21" s="54" t="s">
        <v>44</v>
      </c>
      <c r="E21" s="24">
        <f>E20</f>
        <v>29</v>
      </c>
      <c r="F21" s="29"/>
      <c r="G21" s="30" t="s">
        <v>36</v>
      </c>
      <c r="H21" s="50"/>
      <c r="I21" s="19"/>
    </row>
    <row r="22" spans="1:9" x14ac:dyDescent="0.25">
      <c r="A22" s="131"/>
      <c r="B22" s="132"/>
      <c r="C22" s="167" t="s">
        <v>13</v>
      </c>
      <c r="D22" s="168" t="s">
        <v>44</v>
      </c>
      <c r="E22" s="169">
        <f>E20</f>
        <v>29</v>
      </c>
      <c r="F22" s="170"/>
      <c r="G22" s="171" t="s">
        <v>36</v>
      </c>
      <c r="H22" s="172"/>
      <c r="I22" s="19"/>
    </row>
    <row r="23" spans="1:9" x14ac:dyDescent="0.25">
      <c r="A23" s="144">
        <v>1276.46</v>
      </c>
      <c r="B23" s="143">
        <f>A23-1276.46</f>
        <v>0</v>
      </c>
      <c r="C23" s="32" t="s">
        <v>138</v>
      </c>
      <c r="D23" s="52" t="s">
        <v>45</v>
      </c>
      <c r="E23" s="24">
        <v>30</v>
      </c>
      <c r="F23" s="29"/>
      <c r="G23" s="30" t="s">
        <v>36</v>
      </c>
      <c r="H23" s="27"/>
      <c r="I23" s="19"/>
    </row>
    <row r="24" spans="1:9" x14ac:dyDescent="0.25">
      <c r="A24" s="131"/>
      <c r="B24" s="132"/>
      <c r="C24" s="28" t="s">
        <v>14</v>
      </c>
      <c r="D24" s="53" t="str">
        <f>D17</f>
        <v>TEMA</v>
      </c>
      <c r="E24" s="24">
        <f>IF(E20="","",MOD(E20+2,52))</f>
        <v>31</v>
      </c>
      <c r="F24" s="29"/>
      <c r="G24" s="30" t="s">
        <v>36</v>
      </c>
      <c r="H24" s="27"/>
      <c r="I24" s="19"/>
    </row>
    <row r="25" spans="1:9" x14ac:dyDescent="0.25">
      <c r="A25" s="143"/>
      <c r="B25" s="143">
        <f>A25</f>
        <v>0</v>
      </c>
      <c r="C25" s="183" t="s">
        <v>137</v>
      </c>
      <c r="D25" s="53" t="s">
        <v>64</v>
      </c>
      <c r="E25" s="24">
        <f>E23</f>
        <v>30</v>
      </c>
      <c r="F25" s="29"/>
      <c r="G25" s="72" t="s">
        <v>70</v>
      </c>
      <c r="H25" s="27"/>
      <c r="I25" s="19"/>
    </row>
    <row r="26" spans="1:9" x14ac:dyDescent="0.25">
      <c r="A26" s="131"/>
      <c r="B26" s="132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145"/>
      <c r="B27" s="146"/>
      <c r="C27" s="387" t="s">
        <v>144</v>
      </c>
      <c r="D27" s="388"/>
      <c r="E27" s="388"/>
      <c r="F27" s="388"/>
      <c r="G27" s="388"/>
      <c r="H27" s="389"/>
      <c r="I27" s="19"/>
    </row>
    <row r="28" spans="1:9" ht="15.75" thickBot="1" x14ac:dyDescent="0.3">
      <c r="A28" s="131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44">
        <v>410.08</v>
      </c>
      <c r="B29" s="143">
        <f>A29-410.08</f>
        <v>0</v>
      </c>
      <c r="C29" s="78" t="s">
        <v>66</v>
      </c>
      <c r="D29" s="52" t="s">
        <v>90</v>
      </c>
      <c r="E29" s="79">
        <v>30</v>
      </c>
      <c r="F29" s="25"/>
      <c r="G29" s="26" t="s">
        <v>36</v>
      </c>
      <c r="H29" s="27"/>
      <c r="I29" s="19"/>
    </row>
    <row r="30" spans="1:9" x14ac:dyDescent="0.25">
      <c r="A30" s="143"/>
      <c r="B30" s="143">
        <f>A30</f>
        <v>0</v>
      </c>
      <c r="C30" s="28" t="s">
        <v>67</v>
      </c>
      <c r="D30" s="53" t="s">
        <v>64</v>
      </c>
      <c r="E30" s="24">
        <f>IF(E29="","",MOD(E29+1,52))</f>
        <v>31</v>
      </c>
      <c r="F30" s="29"/>
      <c r="G30" s="30" t="s">
        <v>70</v>
      </c>
      <c r="H30" s="27"/>
      <c r="I30" s="19"/>
    </row>
    <row r="31" spans="1:9" x14ac:dyDescent="0.25">
      <c r="A31" s="131"/>
      <c r="B31" s="132"/>
      <c r="C31" s="62" t="s">
        <v>16</v>
      </c>
      <c r="D31" s="52" t="str">
        <f>D29</f>
        <v>ELECTRO HECKER</v>
      </c>
      <c r="E31" s="24">
        <f>IF(E30="","",MOD(E30+2,52))</f>
        <v>33</v>
      </c>
      <c r="F31" s="29"/>
      <c r="G31" s="30" t="s">
        <v>36</v>
      </c>
      <c r="H31" s="27"/>
      <c r="I31" s="19"/>
    </row>
    <row r="32" spans="1:9" x14ac:dyDescent="0.25">
      <c r="A32" s="143"/>
      <c r="B32" s="143">
        <f>A32</f>
        <v>0</v>
      </c>
      <c r="C32" s="80" t="s">
        <v>17</v>
      </c>
      <c r="D32" s="53" t="s">
        <v>64</v>
      </c>
      <c r="E32" s="24">
        <f>IF(E30="","",MOD(E30+2,52))</f>
        <v>33</v>
      </c>
      <c r="F32" s="29"/>
      <c r="G32" s="30" t="s">
        <v>70</v>
      </c>
      <c r="H32" s="27"/>
      <c r="I32" s="19"/>
    </row>
    <row r="33" spans="1:9" x14ac:dyDescent="0.25">
      <c r="A33" s="143"/>
      <c r="B33" s="143"/>
      <c r="C33" s="62" t="s">
        <v>140</v>
      </c>
      <c r="D33" s="52" t="s">
        <v>64</v>
      </c>
      <c r="E33" s="24">
        <f>IF(E32="","",MOD(E32+1,52))</f>
        <v>34</v>
      </c>
      <c r="F33" s="29"/>
      <c r="G33" s="30" t="s">
        <v>70</v>
      </c>
      <c r="H33" s="27"/>
      <c r="I33" s="19"/>
    </row>
    <row r="34" spans="1:9" x14ac:dyDescent="0.25">
      <c r="A34" s="143"/>
      <c r="B34" s="143">
        <f>A34</f>
        <v>0</v>
      </c>
      <c r="C34" s="28" t="s">
        <v>141</v>
      </c>
      <c r="D34" s="53" t="s">
        <v>64</v>
      </c>
      <c r="E34" s="24">
        <f>IF(E32="","",MOD(E32+1,52))</f>
        <v>34</v>
      </c>
      <c r="F34" s="29"/>
      <c r="G34" s="30" t="s">
        <v>70</v>
      </c>
      <c r="H34" s="27"/>
      <c r="I34" s="19"/>
    </row>
    <row r="35" spans="1:9" x14ac:dyDescent="0.25">
      <c r="A35" s="131"/>
      <c r="B35" s="13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143"/>
      <c r="B36" s="143">
        <f>A36</f>
        <v>0</v>
      </c>
      <c r="C36" s="28" t="s">
        <v>19</v>
      </c>
      <c r="D36" s="53" t="s">
        <v>64</v>
      </c>
      <c r="E36" s="24">
        <f>IF(E34="","",MOD(E34+1,52))</f>
        <v>35</v>
      </c>
      <c r="F36" s="29"/>
      <c r="G36" s="30" t="s">
        <v>70</v>
      </c>
      <c r="H36" s="27"/>
      <c r="I36" s="19"/>
    </row>
    <row r="37" spans="1:9" x14ac:dyDescent="0.25">
      <c r="A37" s="131"/>
      <c r="B37" s="132"/>
      <c r="C37" s="28" t="s">
        <v>20</v>
      </c>
      <c r="D37" s="52" t="str">
        <f>D30</f>
        <v>A CHARGE CLIENT</v>
      </c>
      <c r="E37" s="24">
        <f>IF(E36="","",MOD(E36+1,52))</f>
        <v>36</v>
      </c>
      <c r="F37" s="29"/>
      <c r="G37" s="30" t="s">
        <v>70</v>
      </c>
      <c r="H37" s="27"/>
      <c r="I37" s="19"/>
    </row>
    <row r="38" spans="1:9" x14ac:dyDescent="0.25">
      <c r="A38" s="131"/>
      <c r="B38" s="132"/>
      <c r="C38" s="28" t="s">
        <v>21</v>
      </c>
      <c r="D38" s="53" t="str">
        <f>D29</f>
        <v>ELECTRO HECKER</v>
      </c>
      <c r="E38" s="24">
        <f>IF(E37="","",MOD(E37+1,52))</f>
        <v>37</v>
      </c>
      <c r="F38" s="29"/>
      <c r="G38" s="30" t="s">
        <v>9</v>
      </c>
      <c r="H38" s="27"/>
      <c r="I38" s="19"/>
    </row>
    <row r="39" spans="1:9" x14ac:dyDescent="0.25">
      <c r="A39" s="131"/>
      <c r="B39" s="132"/>
      <c r="C39" s="28" t="s">
        <v>22</v>
      </c>
      <c r="D39" s="52" t="str">
        <f>D32</f>
        <v>A CHARGE CLIENT</v>
      </c>
      <c r="E39" s="24">
        <f>IF(E37="","",MOD(E37+1,52))</f>
        <v>37</v>
      </c>
      <c r="F39" s="29"/>
      <c r="G39" s="30" t="s">
        <v>70</v>
      </c>
      <c r="H39" s="27"/>
      <c r="I39" s="19"/>
    </row>
    <row r="40" spans="1:9" x14ac:dyDescent="0.25">
      <c r="A40" s="131"/>
      <c r="B40" s="132"/>
      <c r="C40" s="28" t="s">
        <v>23</v>
      </c>
      <c r="D40" s="53" t="s">
        <v>64</v>
      </c>
      <c r="E40" s="24">
        <f>E36+4</f>
        <v>39</v>
      </c>
      <c r="F40" s="29"/>
      <c r="G40" s="30" t="s">
        <v>70</v>
      </c>
      <c r="H40" s="27"/>
      <c r="I40" s="19"/>
    </row>
    <row r="41" spans="1:9" x14ac:dyDescent="0.25">
      <c r="A41" s="131"/>
      <c r="B41" s="132"/>
      <c r="C41" s="28" t="s">
        <v>24</v>
      </c>
      <c r="D41" s="52" t="s">
        <v>64</v>
      </c>
      <c r="E41" s="24">
        <f>E39+1</f>
        <v>38</v>
      </c>
      <c r="F41" s="29"/>
      <c r="G41" s="30" t="s">
        <v>70</v>
      </c>
      <c r="H41" s="27"/>
      <c r="I41" s="19"/>
    </row>
    <row r="42" spans="1:9" x14ac:dyDescent="0.25">
      <c r="A42" s="131"/>
      <c r="B42" s="132"/>
      <c r="C42" s="28" t="s">
        <v>25</v>
      </c>
      <c r="D42" s="53" t="str">
        <f>D34</f>
        <v>A CHARGE CLIENT</v>
      </c>
      <c r="E42" s="24">
        <f>IF(E40="","",MOD(E40+2,52))</f>
        <v>41</v>
      </c>
      <c r="F42" s="29"/>
      <c r="G42" s="30" t="s">
        <v>70</v>
      </c>
      <c r="H42" s="27"/>
      <c r="I42" s="19"/>
    </row>
    <row r="43" spans="1:9" x14ac:dyDescent="0.25">
      <c r="A43" s="143"/>
      <c r="B43" s="143">
        <f>A43</f>
        <v>0</v>
      </c>
      <c r="C43" s="81" t="s">
        <v>147</v>
      </c>
      <c r="D43" s="52" t="s">
        <v>64</v>
      </c>
      <c r="E43" s="82">
        <f>E44</f>
        <v>41</v>
      </c>
      <c r="F43" s="83"/>
      <c r="G43" s="72" t="s">
        <v>70</v>
      </c>
      <c r="H43" s="27"/>
      <c r="I43" s="19"/>
    </row>
    <row r="44" spans="1:9" x14ac:dyDescent="0.25">
      <c r="A44" s="143"/>
      <c r="B44" s="143">
        <f>A44</f>
        <v>0</v>
      </c>
      <c r="C44" s="81" t="s">
        <v>139</v>
      </c>
      <c r="D44" s="193" t="s">
        <v>64</v>
      </c>
      <c r="E44" s="82">
        <f>IF(E40="","",MOD(E40+2,52))</f>
        <v>41</v>
      </c>
      <c r="F44" s="83"/>
      <c r="G44" s="72" t="s">
        <v>70</v>
      </c>
      <c r="H44" s="194"/>
      <c r="I44" s="19"/>
    </row>
    <row r="45" spans="1:9" x14ac:dyDescent="0.25">
      <c r="A45" s="131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145"/>
      <c r="B46" s="146"/>
      <c r="C46" s="387" t="s">
        <v>146</v>
      </c>
      <c r="D46" s="388"/>
      <c r="E46" s="388"/>
      <c r="F46" s="388"/>
      <c r="G46" s="388"/>
      <c r="H46" s="389"/>
      <c r="I46" s="19"/>
    </row>
    <row r="47" spans="1:9" ht="15.75" thickBot="1" x14ac:dyDescent="0.3">
      <c r="A47" s="131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144"/>
      <c r="B48" s="143">
        <f>A48</f>
        <v>0</v>
      </c>
      <c r="C48" s="88" t="s">
        <v>26</v>
      </c>
      <c r="D48" s="52" t="s">
        <v>57</v>
      </c>
      <c r="E48" s="89">
        <v>40</v>
      </c>
      <c r="F48" s="25"/>
      <c r="G48" s="26"/>
      <c r="H48" s="27"/>
      <c r="I48" s="19"/>
    </row>
    <row r="49" spans="1:9" x14ac:dyDescent="0.25">
      <c r="A49" s="133"/>
      <c r="B49" s="173"/>
      <c r="C49" s="102" t="s">
        <v>69</v>
      </c>
      <c r="D49" s="103" t="s">
        <v>64</v>
      </c>
      <c r="E49" s="104">
        <f>E48</f>
        <v>40</v>
      </c>
      <c r="F49" s="105"/>
      <c r="G49" s="106" t="s">
        <v>70</v>
      </c>
      <c r="H49" s="27"/>
      <c r="I49" s="19"/>
    </row>
    <row r="50" spans="1:9" x14ac:dyDescent="0.25">
      <c r="A50" s="133"/>
      <c r="B50" s="173"/>
      <c r="C50" s="92" t="s">
        <v>61</v>
      </c>
      <c r="D50" s="99" t="s">
        <v>68</v>
      </c>
      <c r="E50" s="101">
        <f>E48+1</f>
        <v>41</v>
      </c>
      <c r="F50" s="95"/>
      <c r="G50" s="96" t="s">
        <v>9</v>
      </c>
      <c r="H50" s="97"/>
      <c r="I50" s="19"/>
    </row>
    <row r="51" spans="1:9" x14ac:dyDescent="0.25">
      <c r="A51" s="133">
        <f>SUM(A12:A50)</f>
        <v>14303.85</v>
      </c>
      <c r="B51" s="133">
        <f>SUM(B12:B50)</f>
        <v>0</v>
      </c>
      <c r="C51" s="91" t="s">
        <v>27</v>
      </c>
      <c r="D51" s="52" t="str">
        <f>D48</f>
        <v>TASTEPER</v>
      </c>
      <c r="E51" s="90">
        <f>E48+3</f>
        <v>43</v>
      </c>
      <c r="F51" s="29"/>
      <c r="G51" s="72"/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7" t="s">
        <v>142</v>
      </c>
      <c r="I54" s="19"/>
    </row>
    <row r="55" spans="1:9" x14ac:dyDescent="0.25">
      <c r="A55" s="42"/>
      <c r="B55" s="126"/>
      <c r="C55" s="43" t="s">
        <v>122</v>
      </c>
      <c r="D55" s="107">
        <v>43167</v>
      </c>
      <c r="E55" s="44"/>
      <c r="F55" s="45" t="s">
        <v>109</v>
      </c>
      <c r="G55" s="18"/>
      <c r="H55" s="398"/>
      <c r="I55" s="19"/>
    </row>
    <row r="56" spans="1:9" x14ac:dyDescent="0.25">
      <c r="A56" s="42"/>
      <c r="B56" s="126"/>
      <c r="C56" s="33" t="s">
        <v>123</v>
      </c>
      <c r="D56" s="49">
        <v>43196</v>
      </c>
      <c r="E56" s="46"/>
      <c r="F56" s="2" t="s">
        <v>109</v>
      </c>
      <c r="G56" s="18"/>
      <c r="H56" s="399" t="e">
        <f>DATEDIF(E3,D58,"m")&amp;"mois"&amp;DATEDIF(E3,D58,"md")&amp;"jours"</f>
        <v>#NUM!</v>
      </c>
      <c r="I56" s="19"/>
    </row>
    <row r="57" spans="1:9" ht="15.75" thickBot="1" x14ac:dyDescent="0.3">
      <c r="A57" s="42"/>
      <c r="B57" s="126"/>
      <c r="C57" s="33" t="s">
        <v>31</v>
      </c>
      <c r="D57" s="176"/>
      <c r="E57" s="46"/>
      <c r="F57" s="2"/>
      <c r="G57" s="18"/>
      <c r="H57" s="400"/>
      <c r="I57" s="19"/>
    </row>
    <row r="58" spans="1:9" x14ac:dyDescent="0.25">
      <c r="A58" s="42"/>
      <c r="B58" s="126"/>
      <c r="C58" s="47" t="s">
        <v>32</v>
      </c>
      <c r="D58" s="184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1"/>
      <c r="D60" s="371"/>
      <c r="E60" s="371"/>
      <c r="F60" s="371"/>
      <c r="G60" s="371"/>
      <c r="H60" s="371"/>
      <c r="I60" s="372"/>
    </row>
    <row r="61" spans="1:9" x14ac:dyDescent="0.25">
      <c r="A61" s="34"/>
      <c r="B61" s="18"/>
      <c r="C61" s="373"/>
      <c r="D61" s="373"/>
      <c r="E61" s="373"/>
      <c r="F61" s="373"/>
      <c r="G61" s="373"/>
      <c r="H61" s="373"/>
      <c r="I61" s="374"/>
    </row>
    <row r="62" spans="1:9" x14ac:dyDescent="0.25">
      <c r="A62" s="34"/>
      <c r="B62" s="18"/>
      <c r="C62" s="373"/>
      <c r="D62" s="373"/>
      <c r="E62" s="373"/>
      <c r="F62" s="373"/>
      <c r="G62" s="373"/>
      <c r="H62" s="373"/>
      <c r="I62" s="374"/>
    </row>
    <row r="63" spans="1:9" x14ac:dyDescent="0.25">
      <c r="A63" s="34"/>
      <c r="B63" s="18"/>
      <c r="C63" s="373"/>
      <c r="D63" s="373"/>
      <c r="E63" s="373"/>
      <c r="F63" s="373"/>
      <c r="G63" s="373"/>
      <c r="H63" s="373"/>
      <c r="I63" s="374"/>
    </row>
    <row r="64" spans="1:9" x14ac:dyDescent="0.25">
      <c r="A64" s="34"/>
      <c r="B64" s="18"/>
      <c r="C64" s="373"/>
      <c r="D64" s="373"/>
      <c r="E64" s="373"/>
      <c r="F64" s="373"/>
      <c r="G64" s="373"/>
      <c r="H64" s="373"/>
      <c r="I64" s="374"/>
    </row>
    <row r="65" spans="1:9" x14ac:dyDescent="0.25">
      <c r="A65" s="44"/>
      <c r="B65" s="45"/>
      <c r="C65" s="375"/>
      <c r="D65" s="375"/>
      <c r="E65" s="375"/>
      <c r="F65" s="375"/>
      <c r="G65" s="375"/>
      <c r="H65" s="375"/>
      <c r="I65" s="376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H54:H55"/>
    <mergeCell ref="H56:H57"/>
    <mergeCell ref="C60:I65"/>
    <mergeCell ref="E4:F4"/>
    <mergeCell ref="A5:B5"/>
    <mergeCell ref="A6:B6"/>
    <mergeCell ref="C6:H6"/>
    <mergeCell ref="C27:H27"/>
    <mergeCell ref="C46:H46"/>
    <mergeCell ref="A1:G1"/>
    <mergeCell ref="A2:B2"/>
    <mergeCell ref="E2:F2"/>
    <mergeCell ref="H2:I2"/>
    <mergeCell ref="A3:B3"/>
    <mergeCell ref="E3:F3"/>
    <mergeCell ref="H3:I3"/>
  </mergeCells>
  <conditionalFormatting sqref="C52:G52">
    <cfRule type="expression" dxfId="2052" priority="70">
      <formula>$F52="réalisé"</formula>
    </cfRule>
  </conditionalFormatting>
  <conditionalFormatting sqref="C48:C51 E48:H51 E29:H45 C8:H26">
    <cfRule type="expression" dxfId="2051" priority="67">
      <formula>$G8="réalisé"</formula>
    </cfRule>
    <cfRule type="expression" dxfId="2050" priority="68">
      <formula>$G8="en cours"</formula>
    </cfRule>
    <cfRule type="expression" dxfId="2049" priority="69">
      <formula>$G8="non compris"</formula>
    </cfRule>
  </conditionalFormatting>
  <conditionalFormatting sqref="C29:C45">
    <cfRule type="expression" dxfId="2048" priority="64">
      <formula>$G29="réalisé"</formula>
    </cfRule>
    <cfRule type="expression" dxfId="2047" priority="65">
      <formula>$G29="en cours"</formula>
    </cfRule>
    <cfRule type="expression" dxfId="2046" priority="66">
      <formula>$G29="non compris"</formula>
    </cfRule>
  </conditionalFormatting>
  <conditionalFormatting sqref="C55:F58">
    <cfRule type="expression" dxfId="2045" priority="63">
      <formula>$F55="réalisé"</formula>
    </cfRule>
  </conditionalFormatting>
  <conditionalFormatting sqref="G9">
    <cfRule type="expression" dxfId="2044" priority="62">
      <formula>$G$10="réalisé"</formula>
    </cfRule>
  </conditionalFormatting>
  <conditionalFormatting sqref="G10:G14">
    <cfRule type="expression" dxfId="2043" priority="61">
      <formula>$G$15="réalisé"</formula>
    </cfRule>
  </conditionalFormatting>
  <conditionalFormatting sqref="G20:G21">
    <cfRule type="expression" dxfId="2042" priority="60">
      <formula>$G$22="réalisé"</formula>
    </cfRule>
  </conditionalFormatting>
  <conditionalFormatting sqref="G30">
    <cfRule type="expression" dxfId="2041" priority="59">
      <formula>$G$31="réalisé"</formula>
    </cfRule>
  </conditionalFormatting>
  <conditionalFormatting sqref="D29">
    <cfRule type="expression" dxfId="2040" priority="56">
      <formula>$G29="réalisé"</formula>
    </cfRule>
    <cfRule type="expression" dxfId="2039" priority="57">
      <formula>$G29="en cours"</formula>
    </cfRule>
    <cfRule type="expression" dxfId="2038" priority="58">
      <formula>$G29="non compris"</formula>
    </cfRule>
  </conditionalFormatting>
  <conditionalFormatting sqref="D31">
    <cfRule type="expression" dxfId="2037" priority="53">
      <formula>$G31="réalisé"</formula>
    </cfRule>
    <cfRule type="expression" dxfId="2036" priority="54">
      <formula>$G31="en cours"</formula>
    </cfRule>
    <cfRule type="expression" dxfId="2035" priority="55">
      <formula>$G31="non compris"</formula>
    </cfRule>
  </conditionalFormatting>
  <conditionalFormatting sqref="D33">
    <cfRule type="expression" dxfId="2034" priority="50">
      <formula>$G33="réalisé"</formula>
    </cfRule>
    <cfRule type="expression" dxfId="2033" priority="51">
      <formula>$G33="en cours"</formula>
    </cfRule>
    <cfRule type="expression" dxfId="2032" priority="52">
      <formula>$G33="non compris"</formula>
    </cfRule>
  </conditionalFormatting>
  <conditionalFormatting sqref="D35">
    <cfRule type="expression" dxfId="2031" priority="47">
      <formula>$G35="réalisé"</formula>
    </cfRule>
    <cfRule type="expression" dxfId="2030" priority="48">
      <formula>$G35="en cours"</formula>
    </cfRule>
    <cfRule type="expression" dxfId="2029" priority="49">
      <formula>$G35="non compris"</formula>
    </cfRule>
  </conditionalFormatting>
  <conditionalFormatting sqref="D37">
    <cfRule type="expression" dxfId="2028" priority="44">
      <formula>$G37="réalisé"</formula>
    </cfRule>
    <cfRule type="expression" dxfId="2027" priority="45">
      <formula>$G37="en cours"</formula>
    </cfRule>
    <cfRule type="expression" dxfId="2026" priority="46">
      <formula>$G37="non compris"</formula>
    </cfRule>
  </conditionalFormatting>
  <conditionalFormatting sqref="D39">
    <cfRule type="expression" dxfId="2025" priority="41">
      <formula>$G39="réalisé"</formula>
    </cfRule>
    <cfRule type="expression" dxfId="2024" priority="42">
      <formula>$G39="en cours"</formula>
    </cfRule>
    <cfRule type="expression" dxfId="2023" priority="43">
      <formula>$G39="non compris"</formula>
    </cfRule>
  </conditionalFormatting>
  <conditionalFormatting sqref="D41">
    <cfRule type="expression" dxfId="2022" priority="38">
      <formula>$G41="réalisé"</formula>
    </cfRule>
    <cfRule type="expression" dxfId="2021" priority="39">
      <formula>$G41="en cours"</formula>
    </cfRule>
    <cfRule type="expression" dxfId="2020" priority="40">
      <formula>$G41="non compris"</formula>
    </cfRule>
  </conditionalFormatting>
  <conditionalFormatting sqref="D44:D45">
    <cfRule type="expression" dxfId="2019" priority="35">
      <formula>$G44="réalisé"</formula>
    </cfRule>
    <cfRule type="expression" dxfId="2018" priority="36">
      <formula>$G44="en cours"</formula>
    </cfRule>
    <cfRule type="expression" dxfId="2017" priority="37">
      <formula>$G44="non compris"</formula>
    </cfRule>
  </conditionalFormatting>
  <conditionalFormatting sqref="D30">
    <cfRule type="expression" dxfId="2016" priority="32">
      <formula>$G30="réalisé"</formula>
    </cfRule>
    <cfRule type="expression" dxfId="2015" priority="33">
      <formula>$G30="en cours"</formula>
    </cfRule>
    <cfRule type="expression" dxfId="2014" priority="34">
      <formula>$G30="non compris"</formula>
    </cfRule>
  </conditionalFormatting>
  <conditionalFormatting sqref="D32">
    <cfRule type="expression" dxfId="2013" priority="29">
      <formula>$G32="réalisé"</formula>
    </cfRule>
    <cfRule type="expression" dxfId="2012" priority="30">
      <formula>$G32="en cours"</formula>
    </cfRule>
    <cfRule type="expression" dxfId="2011" priority="31">
      <formula>$G32="non compris"</formula>
    </cfRule>
  </conditionalFormatting>
  <conditionalFormatting sqref="D34">
    <cfRule type="expression" dxfId="2010" priority="26">
      <formula>$G34="réalisé"</formula>
    </cfRule>
    <cfRule type="expression" dxfId="2009" priority="27">
      <formula>$G34="en cours"</formula>
    </cfRule>
    <cfRule type="expression" dxfId="2008" priority="28">
      <formula>$G34="non compris"</formula>
    </cfRule>
  </conditionalFormatting>
  <conditionalFormatting sqref="D36">
    <cfRule type="expression" dxfId="2007" priority="23">
      <formula>$G36="réalisé"</formula>
    </cfRule>
    <cfRule type="expression" dxfId="2006" priority="24">
      <formula>$G36="en cours"</formula>
    </cfRule>
    <cfRule type="expression" dxfId="2005" priority="25">
      <formula>$G36="non compris"</formula>
    </cfRule>
  </conditionalFormatting>
  <conditionalFormatting sqref="D38">
    <cfRule type="expression" dxfId="2004" priority="20">
      <formula>$G38="réalisé"</formula>
    </cfRule>
    <cfRule type="expression" dxfId="2003" priority="21">
      <formula>$G38="en cours"</formula>
    </cfRule>
    <cfRule type="expression" dxfId="2002" priority="22">
      <formula>$G38="non compris"</formula>
    </cfRule>
  </conditionalFormatting>
  <conditionalFormatting sqref="D40">
    <cfRule type="expression" dxfId="2001" priority="17">
      <formula>$G40="réalisé"</formula>
    </cfRule>
    <cfRule type="expression" dxfId="2000" priority="18">
      <formula>$G40="en cours"</formula>
    </cfRule>
    <cfRule type="expression" dxfId="1999" priority="19">
      <formula>$G40="non compris"</formula>
    </cfRule>
  </conditionalFormatting>
  <conditionalFormatting sqref="D42:D43">
    <cfRule type="expression" dxfId="1998" priority="14">
      <formula>$G42="réalisé"</formula>
    </cfRule>
    <cfRule type="expression" dxfId="1997" priority="15">
      <formula>$G42="en cours"</formula>
    </cfRule>
    <cfRule type="expression" dxfId="1996" priority="16">
      <formula>$G42="non compris"</formula>
    </cfRule>
  </conditionalFormatting>
  <conditionalFormatting sqref="D50">
    <cfRule type="expression" dxfId="1995" priority="11">
      <formula>$G50="réalisé"</formula>
    </cfRule>
    <cfRule type="expression" dxfId="1994" priority="12">
      <formula>$G50="en cours"</formula>
    </cfRule>
    <cfRule type="expression" dxfId="1993" priority="13">
      <formula>$G50="non compris"</formula>
    </cfRule>
  </conditionalFormatting>
  <conditionalFormatting sqref="D49">
    <cfRule type="expression" dxfId="1992" priority="8">
      <formula>$G49="réalisé"</formula>
    </cfRule>
    <cfRule type="expression" dxfId="1991" priority="9">
      <formula>$G49="en cours"</formula>
    </cfRule>
    <cfRule type="expression" dxfId="1990" priority="10">
      <formula>$G49="non compris"</formula>
    </cfRule>
  </conditionalFormatting>
  <conditionalFormatting sqref="D48">
    <cfRule type="expression" dxfId="1989" priority="5">
      <formula>$G48="réalisé"</formula>
    </cfRule>
    <cfRule type="expression" dxfId="1988" priority="6">
      <formula>$G48="en cours"</formula>
    </cfRule>
    <cfRule type="expression" dxfId="1987" priority="7">
      <formula>$G48="non compris"</formula>
    </cfRule>
  </conditionalFormatting>
  <conditionalFormatting sqref="D51">
    <cfRule type="expression" dxfId="1986" priority="2">
      <formula>$G51="réalisé"</formula>
    </cfRule>
    <cfRule type="expression" dxfId="1985" priority="3">
      <formula>$G51="en cours"</formula>
    </cfRule>
    <cfRule type="expression" dxfId="1984" priority="4">
      <formula>$G51="non compris"</formula>
    </cfRule>
  </conditionalFormatting>
  <conditionalFormatting sqref="D8:D26">
    <cfRule type="expression" dxfId="1983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82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tabColor rgb="FF00B050"/>
    <pageSetUpPr fitToPage="1"/>
  </sheetPr>
  <dimension ref="A1:I74"/>
  <sheetViews>
    <sheetView topLeftCell="A13" zoomScaleNormal="100" workbookViewId="0">
      <selection activeCell="E25" sqref="E25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7" t="s">
        <v>0</v>
      </c>
      <c r="B1" s="378"/>
      <c r="C1" s="378"/>
      <c r="D1" s="378"/>
      <c r="E1" s="378"/>
      <c r="F1" s="378"/>
      <c r="G1" s="378"/>
      <c r="H1" s="1" t="s">
        <v>1</v>
      </c>
      <c r="I1" s="3">
        <f ca="1">INT(MOD(INT((LISTE!D1-2)/7)+0.6,52+5/28))+1</f>
        <v>41</v>
      </c>
    </row>
    <row r="2" spans="1:9" x14ac:dyDescent="0.25">
      <c r="A2" s="390" t="s">
        <v>2</v>
      </c>
      <c r="B2" s="391"/>
      <c r="C2" s="70" t="str">
        <f ca="1">MID(CELL("nomfichier",A1),FIND("]",CELL("nomfichier",A1),1)+1,30)</f>
        <v>MARTOS</v>
      </c>
      <c r="D2" s="4" t="s">
        <v>72</v>
      </c>
      <c r="E2" s="379">
        <v>43020</v>
      </c>
      <c r="F2" s="379"/>
      <c r="G2" s="5"/>
      <c r="H2" s="380" t="s">
        <v>143</v>
      </c>
      <c r="I2" s="381"/>
    </row>
    <row r="3" spans="1:9" ht="15.75" x14ac:dyDescent="0.25">
      <c r="A3" s="392" t="s">
        <v>106</v>
      </c>
      <c r="B3" s="384"/>
      <c r="C3" s="6" t="s">
        <v>116</v>
      </c>
      <c r="D3" s="7" t="s">
        <v>3</v>
      </c>
      <c r="E3" s="382">
        <v>43174</v>
      </c>
      <c r="F3" s="383"/>
      <c r="G3" s="8"/>
      <c r="H3" s="384" t="str">
        <f ca="1">DATEDIF(E3,TODAY(),"m")&amp;"mois"&amp;-DATEDIF(E3,TODAY(),"md")&amp;"jours"</f>
        <v>6mois-27jours</v>
      </c>
      <c r="I3" s="385"/>
    </row>
    <row r="4" spans="1:9" ht="18.75" x14ac:dyDescent="0.25">
      <c r="A4" s="69" t="s">
        <v>117</v>
      </c>
      <c r="B4" s="129"/>
      <c r="C4" s="9" t="s">
        <v>119</v>
      </c>
      <c r="D4" s="10" t="s">
        <v>4</v>
      </c>
      <c r="E4" s="386">
        <v>43217</v>
      </c>
      <c r="F4" s="386"/>
      <c r="G4" s="11"/>
      <c r="H4" s="12"/>
      <c r="I4" s="13"/>
    </row>
    <row r="5" spans="1:9" x14ac:dyDescent="0.25">
      <c r="A5" s="393" t="s">
        <v>76</v>
      </c>
      <c r="B5" s="394"/>
      <c r="C5" s="15"/>
      <c r="D5" s="16"/>
      <c r="E5" s="15"/>
      <c r="F5" s="15"/>
      <c r="G5" s="17"/>
      <c r="H5" s="18"/>
      <c r="I5" s="19"/>
    </row>
    <row r="6" spans="1:9" ht="18.75" x14ac:dyDescent="0.3">
      <c r="A6" s="395" t="s">
        <v>75</v>
      </c>
      <c r="B6" s="396"/>
      <c r="C6" s="387" t="s">
        <v>145</v>
      </c>
      <c r="D6" s="388"/>
      <c r="E6" s="388"/>
      <c r="F6" s="388"/>
      <c r="G6" s="388"/>
      <c r="H6" s="389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22"/>
      <c r="B8" s="200"/>
      <c r="C8" s="28" t="s">
        <v>124</v>
      </c>
      <c r="D8" s="52" t="s">
        <v>38</v>
      </c>
      <c r="E8" s="180">
        <v>12</v>
      </c>
      <c r="F8" s="25"/>
      <c r="G8" s="26" t="s">
        <v>36</v>
      </c>
      <c r="H8" s="27" t="s">
        <v>158</v>
      </c>
      <c r="I8" s="19"/>
    </row>
    <row r="9" spans="1:9" x14ac:dyDescent="0.25">
      <c r="A9" s="122"/>
      <c r="B9" s="130"/>
      <c r="C9" s="28" t="s">
        <v>131</v>
      </c>
      <c r="D9" s="53" t="str">
        <f>D8</f>
        <v>TEMA</v>
      </c>
      <c r="E9" s="181">
        <f>E8+1</f>
        <v>13</v>
      </c>
      <c r="F9" s="29"/>
      <c r="G9" s="30" t="s">
        <v>36</v>
      </c>
      <c r="H9" s="27"/>
      <c r="I9" s="19"/>
    </row>
    <row r="10" spans="1:9" ht="15" customHeight="1" x14ac:dyDescent="0.25">
      <c r="A10" s="131"/>
      <c r="B10" s="182"/>
      <c r="C10" s="28" t="s">
        <v>132</v>
      </c>
      <c r="D10" s="52" t="str">
        <f>D9</f>
        <v>TEMA</v>
      </c>
      <c r="E10" s="180">
        <f>E9</f>
        <v>13</v>
      </c>
      <c r="F10" s="31"/>
      <c r="G10" s="30" t="s">
        <v>36</v>
      </c>
      <c r="H10" s="27"/>
      <c r="I10" s="19"/>
    </row>
    <row r="11" spans="1:9" ht="15" customHeight="1" x14ac:dyDescent="0.25">
      <c r="A11" s="131"/>
      <c r="B11" s="132"/>
      <c r="C11" s="28" t="s">
        <v>133</v>
      </c>
      <c r="D11" s="54" t="str">
        <f>D8</f>
        <v>TEMA</v>
      </c>
      <c r="E11" s="180">
        <v>15</v>
      </c>
      <c r="F11" s="31"/>
      <c r="G11" s="30" t="s">
        <v>36</v>
      </c>
      <c r="H11" s="27"/>
      <c r="I11" s="19"/>
    </row>
    <row r="12" spans="1:9" ht="15" customHeight="1" x14ac:dyDescent="0.25">
      <c r="A12" s="144">
        <v>19236.55</v>
      </c>
      <c r="B12" s="143">
        <f>A12-8015.23-9618.28-1603.04</f>
        <v>0</v>
      </c>
      <c r="C12" s="28" t="s">
        <v>134</v>
      </c>
      <c r="D12" s="54" t="str">
        <f t="shared" ref="D12:D14" si="0">D9</f>
        <v>TEMA</v>
      </c>
      <c r="E12" s="180">
        <f>E11+2</f>
        <v>17</v>
      </c>
      <c r="F12" s="31"/>
      <c r="G12" s="30" t="s">
        <v>36</v>
      </c>
      <c r="H12" s="27"/>
      <c r="I12" s="19"/>
    </row>
    <row r="13" spans="1:9" ht="15" customHeight="1" x14ac:dyDescent="0.25">
      <c r="A13" s="131"/>
      <c r="B13" s="132"/>
      <c r="C13" s="167" t="s">
        <v>172</v>
      </c>
      <c r="D13" s="262" t="s">
        <v>38</v>
      </c>
      <c r="E13" s="181">
        <f>E12+1</f>
        <v>18</v>
      </c>
      <c r="F13" s="263"/>
      <c r="G13" s="171" t="s">
        <v>36</v>
      </c>
      <c r="H13" s="172"/>
      <c r="I13" s="19"/>
    </row>
    <row r="14" spans="1:9" ht="15" customHeight="1" x14ac:dyDescent="0.25">
      <c r="A14" s="131"/>
      <c r="B14" s="132"/>
      <c r="C14" s="167" t="s">
        <v>186</v>
      </c>
      <c r="D14" s="262" t="str">
        <f t="shared" si="0"/>
        <v>TEMA</v>
      </c>
      <c r="E14" s="181">
        <f>E13</f>
        <v>18</v>
      </c>
      <c r="F14" s="263"/>
      <c r="G14" s="171" t="s">
        <v>36</v>
      </c>
      <c r="H14" s="172"/>
      <c r="I14" s="19"/>
    </row>
    <row r="15" spans="1:9" x14ac:dyDescent="0.25">
      <c r="A15" s="131"/>
      <c r="B15" s="132"/>
      <c r="C15" s="28" t="s">
        <v>62</v>
      </c>
      <c r="D15" s="53" t="s">
        <v>64</v>
      </c>
      <c r="E15" s="24">
        <f>E10+4</f>
        <v>17</v>
      </c>
      <c r="F15" s="29"/>
      <c r="G15" s="30" t="s">
        <v>70</v>
      </c>
      <c r="H15" s="27"/>
      <c r="I15" s="19"/>
    </row>
    <row r="16" spans="1:9" x14ac:dyDescent="0.25">
      <c r="A16" s="131"/>
      <c r="B16" s="132"/>
      <c r="C16" s="28" t="s">
        <v>10</v>
      </c>
      <c r="D16" s="52" t="s">
        <v>64</v>
      </c>
      <c r="E16" s="24">
        <f>E10+1</f>
        <v>14</v>
      </c>
      <c r="F16" s="29"/>
      <c r="G16" s="30" t="s">
        <v>70</v>
      </c>
      <c r="H16" s="27"/>
      <c r="I16" s="19"/>
    </row>
    <row r="17" spans="1:9" x14ac:dyDescent="0.25">
      <c r="A17" s="131"/>
      <c r="B17" s="132"/>
      <c r="C17" s="28" t="s">
        <v>11</v>
      </c>
      <c r="D17" s="53" t="s">
        <v>38</v>
      </c>
      <c r="E17" s="24">
        <v>18</v>
      </c>
      <c r="F17" s="29"/>
      <c r="G17" s="30" t="s">
        <v>36</v>
      </c>
      <c r="H17" s="27"/>
      <c r="I17" s="19"/>
    </row>
    <row r="18" spans="1:9" x14ac:dyDescent="0.25">
      <c r="A18" s="143"/>
      <c r="B18" s="143">
        <f>A18</f>
        <v>0</v>
      </c>
      <c r="C18" s="55" t="s">
        <v>12</v>
      </c>
      <c r="D18" s="60" t="s">
        <v>68</v>
      </c>
      <c r="E18" s="204">
        <f>IF(E13="","",MOD(E17+1,52))</f>
        <v>19</v>
      </c>
      <c r="F18" s="57"/>
      <c r="G18" s="58" t="s">
        <v>9</v>
      </c>
      <c r="H18" s="59"/>
      <c r="I18" s="19"/>
    </row>
    <row r="19" spans="1:9" x14ac:dyDescent="0.25">
      <c r="A19" s="131"/>
      <c r="B19" s="132"/>
      <c r="C19" s="28" t="s">
        <v>184</v>
      </c>
      <c r="D19" s="53" t="str">
        <f>D10</f>
        <v>TEMA</v>
      </c>
      <c r="E19" s="24">
        <f>IF(E18="","",MOD(E18+1,52))</f>
        <v>20</v>
      </c>
      <c r="F19" s="29"/>
      <c r="G19" s="30" t="s">
        <v>36</v>
      </c>
      <c r="H19" s="27"/>
      <c r="I19" s="19"/>
    </row>
    <row r="20" spans="1:9" x14ac:dyDescent="0.25">
      <c r="A20" s="142"/>
      <c r="B20" s="143">
        <f>A20</f>
        <v>0</v>
      </c>
      <c r="C20" s="55" t="s">
        <v>59</v>
      </c>
      <c r="D20" s="60" t="s">
        <v>68</v>
      </c>
      <c r="E20" s="61">
        <f>IF(E19="","",MOD(E19+1,52))</f>
        <v>21</v>
      </c>
      <c r="F20" s="57"/>
      <c r="G20" s="58" t="s">
        <v>9</v>
      </c>
      <c r="H20" s="59"/>
      <c r="I20" s="19"/>
    </row>
    <row r="21" spans="1:9" x14ac:dyDescent="0.25">
      <c r="A21" s="282"/>
      <c r="B21" s="143">
        <f>A21</f>
        <v>0</v>
      </c>
      <c r="C21" s="28" t="s">
        <v>60</v>
      </c>
      <c r="D21" s="54" t="s">
        <v>43</v>
      </c>
      <c r="E21" s="24">
        <v>22</v>
      </c>
      <c r="F21" s="29"/>
      <c r="G21" s="30" t="s">
        <v>35</v>
      </c>
      <c r="H21" s="50"/>
      <c r="I21" s="19"/>
    </row>
    <row r="22" spans="1:9" x14ac:dyDescent="0.25">
      <c r="A22" s="267"/>
      <c r="B22" s="132"/>
      <c r="C22" s="167" t="s">
        <v>13</v>
      </c>
      <c r="D22" s="168" t="s">
        <v>43</v>
      </c>
      <c r="E22" s="169">
        <v>22</v>
      </c>
      <c r="F22" s="170"/>
      <c r="G22" s="171" t="s">
        <v>35</v>
      </c>
      <c r="H22" s="172"/>
      <c r="I22" s="19"/>
    </row>
    <row r="23" spans="1:9" x14ac:dyDescent="0.25">
      <c r="A23" s="144">
        <v>5159.5</v>
      </c>
      <c r="B23" s="143">
        <f>A23-5159.5</f>
        <v>0</v>
      </c>
      <c r="C23" s="32" t="s">
        <v>138</v>
      </c>
      <c r="D23" s="52" t="s">
        <v>45</v>
      </c>
      <c r="E23" s="24">
        <v>25</v>
      </c>
      <c r="F23" s="29"/>
      <c r="G23" s="30" t="s">
        <v>36</v>
      </c>
      <c r="H23" s="27"/>
      <c r="I23" s="19"/>
    </row>
    <row r="24" spans="1:9" x14ac:dyDescent="0.25">
      <c r="A24" s="131"/>
      <c r="B24" s="132"/>
      <c r="C24" s="28" t="s">
        <v>14</v>
      </c>
      <c r="D24" s="53" t="str">
        <f>D17</f>
        <v>TEMA</v>
      </c>
      <c r="E24" s="24">
        <v>22</v>
      </c>
      <c r="F24" s="29"/>
      <c r="G24" s="30" t="s">
        <v>36</v>
      </c>
      <c r="H24" s="27"/>
      <c r="I24" s="19"/>
    </row>
    <row r="25" spans="1:9" x14ac:dyDescent="0.25">
      <c r="A25" s="257"/>
      <c r="B25" s="143">
        <f>A25</f>
        <v>0</v>
      </c>
      <c r="C25" s="183" t="s">
        <v>137</v>
      </c>
      <c r="D25" s="53" t="s">
        <v>56</v>
      </c>
      <c r="E25" s="24">
        <v>27</v>
      </c>
      <c r="F25" s="280">
        <v>43288</v>
      </c>
      <c r="G25" s="72" t="s">
        <v>36</v>
      </c>
      <c r="H25" s="27"/>
      <c r="I25" s="19"/>
    </row>
    <row r="26" spans="1:9" x14ac:dyDescent="0.25">
      <c r="A26" s="131"/>
      <c r="B26" s="132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145"/>
      <c r="B27" s="146"/>
      <c r="C27" s="387" t="s">
        <v>144</v>
      </c>
      <c r="D27" s="388"/>
      <c r="E27" s="388"/>
      <c r="F27" s="388"/>
      <c r="G27" s="388"/>
      <c r="H27" s="389"/>
      <c r="I27" s="19"/>
    </row>
    <row r="28" spans="1:9" ht="15.75" thickBot="1" x14ac:dyDescent="0.3">
      <c r="A28" s="131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44">
        <v>1609.78</v>
      </c>
      <c r="B29" s="143">
        <f>A29-1609.78</f>
        <v>0</v>
      </c>
      <c r="C29" s="78" t="s">
        <v>66</v>
      </c>
      <c r="D29" s="52" t="s">
        <v>90</v>
      </c>
      <c r="E29" s="79">
        <v>28</v>
      </c>
      <c r="F29" s="25"/>
      <c r="G29" s="26" t="s">
        <v>36</v>
      </c>
      <c r="H29" s="27"/>
      <c r="I29" s="19"/>
    </row>
    <row r="30" spans="1:9" x14ac:dyDescent="0.25">
      <c r="A30" s="144">
        <v>1912.67</v>
      </c>
      <c r="B30" s="143">
        <f>A30-1912.67</f>
        <v>0</v>
      </c>
      <c r="C30" s="28" t="s">
        <v>67</v>
      </c>
      <c r="D30" s="53" t="s">
        <v>47</v>
      </c>
      <c r="E30" s="24">
        <v>28</v>
      </c>
      <c r="F30" s="29"/>
      <c r="G30" s="30" t="s">
        <v>36</v>
      </c>
      <c r="H30" s="27"/>
      <c r="I30" s="19"/>
    </row>
    <row r="31" spans="1:9" x14ac:dyDescent="0.25">
      <c r="A31" s="131"/>
      <c r="B31" s="132"/>
      <c r="C31" s="62" t="s">
        <v>16</v>
      </c>
      <c r="D31" s="52" t="str">
        <f>D29</f>
        <v>ELECTRO HECKER</v>
      </c>
      <c r="E31" s="24">
        <v>32</v>
      </c>
      <c r="F31" s="29"/>
      <c r="G31" s="30" t="s">
        <v>36</v>
      </c>
      <c r="H31" s="27"/>
      <c r="I31" s="19"/>
    </row>
    <row r="32" spans="1:9" x14ac:dyDescent="0.25">
      <c r="A32" s="144">
        <v>969.89</v>
      </c>
      <c r="B32" s="143">
        <f>A32</f>
        <v>969.89</v>
      </c>
      <c r="C32" s="80" t="s">
        <v>17</v>
      </c>
      <c r="D32" s="53" t="s">
        <v>51</v>
      </c>
      <c r="E32" s="24">
        <v>35</v>
      </c>
      <c r="F32" s="29"/>
      <c r="G32" s="30" t="s">
        <v>36</v>
      </c>
      <c r="H32" s="27"/>
      <c r="I32" s="19"/>
    </row>
    <row r="33" spans="1:9" x14ac:dyDescent="0.25">
      <c r="A33" s="143"/>
      <c r="B33" s="143"/>
      <c r="C33" s="62" t="s">
        <v>140</v>
      </c>
      <c r="D33" s="52" t="s">
        <v>64</v>
      </c>
      <c r="E33" s="24">
        <v>36</v>
      </c>
      <c r="F33" s="29"/>
      <c r="G33" s="30" t="s">
        <v>70</v>
      </c>
      <c r="H33" s="27"/>
      <c r="I33" s="19"/>
    </row>
    <row r="34" spans="1:9" x14ac:dyDescent="0.25">
      <c r="A34" s="143"/>
      <c r="B34" s="143">
        <f>A34</f>
        <v>0</v>
      </c>
      <c r="C34" s="28" t="s">
        <v>141</v>
      </c>
      <c r="D34" s="53" t="s">
        <v>64</v>
      </c>
      <c r="E34" s="24">
        <v>36</v>
      </c>
      <c r="F34" s="29"/>
      <c r="G34" s="30" t="s">
        <v>70</v>
      </c>
      <c r="H34" s="27"/>
      <c r="I34" s="19"/>
    </row>
    <row r="35" spans="1:9" x14ac:dyDescent="0.25">
      <c r="A35" s="131"/>
      <c r="B35" s="13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144">
        <v>287.52</v>
      </c>
      <c r="B36" s="143">
        <f>A36</f>
        <v>287.52</v>
      </c>
      <c r="C36" s="28" t="s">
        <v>19</v>
      </c>
      <c r="D36" s="53" t="s">
        <v>53</v>
      </c>
      <c r="E36" s="24">
        <v>40</v>
      </c>
      <c r="F36" s="29"/>
      <c r="G36" s="30" t="s">
        <v>36</v>
      </c>
      <c r="H36" s="27"/>
      <c r="I36" s="19"/>
    </row>
    <row r="37" spans="1:9" x14ac:dyDescent="0.25">
      <c r="A37" s="267"/>
      <c r="B37" s="132"/>
      <c r="C37" s="28" t="s">
        <v>20</v>
      </c>
      <c r="D37" s="52" t="str">
        <f>D30</f>
        <v>SOARES</v>
      </c>
      <c r="E37" s="24">
        <f>IF(E36="","",MOD(E36+1,52))</f>
        <v>41</v>
      </c>
      <c r="F37" s="29"/>
      <c r="G37" s="30" t="s">
        <v>35</v>
      </c>
      <c r="H37" s="27"/>
      <c r="I37" s="19"/>
    </row>
    <row r="38" spans="1:9" x14ac:dyDescent="0.25">
      <c r="A38" s="267"/>
      <c r="B38" s="132"/>
      <c r="C38" s="28" t="s">
        <v>21</v>
      </c>
      <c r="D38" s="53" t="str">
        <f>D29</f>
        <v>ELECTRO HECKER</v>
      </c>
      <c r="E38" s="24">
        <f>IF(E37="","",MOD(E37+1,52))</f>
        <v>42</v>
      </c>
      <c r="F38" s="29"/>
      <c r="G38" s="30" t="s">
        <v>9</v>
      </c>
      <c r="H38" s="27"/>
      <c r="I38" s="19"/>
    </row>
    <row r="39" spans="1:9" x14ac:dyDescent="0.25">
      <c r="A39" s="267"/>
      <c r="B39" s="132"/>
      <c r="C39" s="28" t="s">
        <v>22</v>
      </c>
      <c r="D39" s="52" t="str">
        <f>D32</f>
        <v>EKOTHERM</v>
      </c>
      <c r="E39" s="24">
        <f>IF(E37="","",MOD(E37+1,52))</f>
        <v>42</v>
      </c>
      <c r="F39" s="29"/>
      <c r="G39" s="30"/>
      <c r="H39" s="27"/>
      <c r="I39" s="19"/>
    </row>
    <row r="40" spans="1:9" x14ac:dyDescent="0.25">
      <c r="A40" s="267"/>
      <c r="B40" s="132"/>
      <c r="C40" s="28" t="s">
        <v>23</v>
      </c>
      <c r="D40" s="53" t="s">
        <v>53</v>
      </c>
      <c r="E40" s="24">
        <f>E36+4</f>
        <v>44</v>
      </c>
      <c r="F40" s="29"/>
      <c r="G40" s="30" t="s">
        <v>9</v>
      </c>
      <c r="H40" s="27"/>
      <c r="I40" s="19"/>
    </row>
    <row r="41" spans="1:9" x14ac:dyDescent="0.25">
      <c r="A41" s="267"/>
      <c r="B41" s="132"/>
      <c r="C41" s="28" t="s">
        <v>24</v>
      </c>
      <c r="D41" s="52" t="s">
        <v>64</v>
      </c>
      <c r="E41" s="24">
        <f>E39+1</f>
        <v>43</v>
      </c>
      <c r="F41" s="29"/>
      <c r="G41" s="30" t="s">
        <v>70</v>
      </c>
      <c r="H41" s="27"/>
      <c r="I41" s="19"/>
    </row>
    <row r="42" spans="1:9" x14ac:dyDescent="0.25">
      <c r="A42" s="267"/>
      <c r="B42" s="132"/>
      <c r="C42" s="28" t="s">
        <v>25</v>
      </c>
      <c r="D42" s="53" t="str">
        <f>D34</f>
        <v>A CHARGE CLIENT</v>
      </c>
      <c r="E42" s="24">
        <f>IF(E40="","",MOD(E40+2,52))</f>
        <v>46</v>
      </c>
      <c r="F42" s="29"/>
      <c r="G42" s="30" t="s">
        <v>70</v>
      </c>
      <c r="H42" s="27"/>
      <c r="I42" s="19"/>
    </row>
    <row r="43" spans="1:9" x14ac:dyDescent="0.25">
      <c r="A43" s="257"/>
      <c r="B43" s="143">
        <f>A43</f>
        <v>0</v>
      </c>
      <c r="C43" s="81" t="s">
        <v>147</v>
      </c>
      <c r="D43" s="52" t="s">
        <v>64</v>
      </c>
      <c r="E43" s="82">
        <f>E44</f>
        <v>46</v>
      </c>
      <c r="F43" s="83"/>
      <c r="G43" s="72" t="s">
        <v>70</v>
      </c>
      <c r="H43" s="27"/>
      <c r="I43" s="19"/>
    </row>
    <row r="44" spans="1:9" x14ac:dyDescent="0.25">
      <c r="A44" s="257"/>
      <c r="B44" s="143">
        <f>A44</f>
        <v>0</v>
      </c>
      <c r="C44" s="81" t="s">
        <v>139</v>
      </c>
      <c r="D44" s="193" t="s">
        <v>54</v>
      </c>
      <c r="E44" s="82">
        <f>IF(E40="","",MOD(E40+2,52))</f>
        <v>46</v>
      </c>
      <c r="F44" s="83"/>
      <c r="G44" s="72"/>
      <c r="H44" s="194"/>
      <c r="I44" s="19"/>
    </row>
    <row r="45" spans="1:9" x14ac:dyDescent="0.25">
      <c r="A45" s="267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268"/>
      <c r="B46" s="146"/>
      <c r="C46" s="387" t="s">
        <v>146</v>
      </c>
      <c r="D46" s="388"/>
      <c r="E46" s="388"/>
      <c r="F46" s="388"/>
      <c r="G46" s="388"/>
      <c r="H46" s="389"/>
      <c r="I46" s="19"/>
    </row>
    <row r="47" spans="1:9" ht="15.75" thickBot="1" x14ac:dyDescent="0.3">
      <c r="A47" s="267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257"/>
      <c r="B48" s="143">
        <f>A48</f>
        <v>0</v>
      </c>
      <c r="C48" s="88" t="s">
        <v>26</v>
      </c>
      <c r="D48" s="52" t="s">
        <v>57</v>
      </c>
      <c r="E48" s="89">
        <v>12</v>
      </c>
      <c r="F48" s="25"/>
      <c r="G48" s="26"/>
      <c r="H48" s="27"/>
      <c r="I48" s="19"/>
    </row>
    <row r="49" spans="1:9" x14ac:dyDescent="0.25">
      <c r="A49" s="133"/>
      <c r="B49" s="173"/>
      <c r="C49" s="102" t="s">
        <v>69</v>
      </c>
      <c r="D49" s="103" t="s">
        <v>64</v>
      </c>
      <c r="E49" s="104">
        <f>E48</f>
        <v>12</v>
      </c>
      <c r="F49" s="105"/>
      <c r="G49" s="106" t="s">
        <v>70</v>
      </c>
      <c r="H49" s="27"/>
      <c r="I49" s="19"/>
    </row>
    <row r="50" spans="1:9" x14ac:dyDescent="0.25">
      <c r="A50" s="133"/>
      <c r="B50" s="173"/>
      <c r="C50" s="92" t="s">
        <v>61</v>
      </c>
      <c r="D50" s="99" t="s">
        <v>68</v>
      </c>
      <c r="E50" s="101">
        <f>E48+1</f>
        <v>13</v>
      </c>
      <c r="F50" s="95"/>
      <c r="G50" s="96" t="s">
        <v>9</v>
      </c>
      <c r="H50" s="97"/>
      <c r="I50" s="19"/>
    </row>
    <row r="51" spans="1:9" x14ac:dyDescent="0.25">
      <c r="A51" s="133">
        <f>SUM(A8:A50)</f>
        <v>29175.91</v>
      </c>
      <c r="B51" s="133">
        <f>SUM(B8:B50)</f>
        <v>1257.4099999999999</v>
      </c>
      <c r="C51" s="91" t="s">
        <v>27</v>
      </c>
      <c r="D51" s="52" t="s">
        <v>64</v>
      </c>
      <c r="E51" s="90">
        <f>E48+3</f>
        <v>15</v>
      </c>
      <c r="F51" s="29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7" t="s">
        <v>142</v>
      </c>
      <c r="I54" s="19"/>
    </row>
    <row r="55" spans="1:9" x14ac:dyDescent="0.25">
      <c r="A55" s="42"/>
      <c r="B55" s="126"/>
      <c r="C55" s="43" t="s">
        <v>122</v>
      </c>
      <c r="D55" s="107">
        <v>43033</v>
      </c>
      <c r="E55" s="44"/>
      <c r="F55" s="45" t="s">
        <v>109</v>
      </c>
      <c r="G55" s="18"/>
      <c r="H55" s="398"/>
      <c r="I55" s="19"/>
    </row>
    <row r="56" spans="1:9" x14ac:dyDescent="0.25">
      <c r="A56" s="42"/>
      <c r="B56" s="126"/>
      <c r="C56" s="33" t="s">
        <v>123</v>
      </c>
      <c r="D56" s="49">
        <v>43054</v>
      </c>
      <c r="E56" s="46"/>
      <c r="F56" s="2" t="s">
        <v>109</v>
      </c>
      <c r="G56" s="18"/>
      <c r="H56" s="399" t="e">
        <f>DATEDIF(E3,D58,"m")&amp;"mois"&amp;DATEDIF(E3,D58,"md")&amp;"jours"</f>
        <v>#VALUE!</v>
      </c>
      <c r="I56" s="19"/>
    </row>
    <row r="57" spans="1:9" ht="15.75" thickBot="1" x14ac:dyDescent="0.3">
      <c r="A57" s="42"/>
      <c r="B57" s="126"/>
      <c r="C57" s="33" t="s">
        <v>31</v>
      </c>
      <c r="D57" s="49">
        <v>43276</v>
      </c>
      <c r="E57" s="46"/>
      <c r="F57" s="2" t="s">
        <v>109</v>
      </c>
      <c r="G57" s="18"/>
      <c r="H57" s="400"/>
      <c r="I57" s="19"/>
    </row>
    <row r="58" spans="1:9" x14ac:dyDescent="0.25">
      <c r="A58" s="42"/>
      <c r="B58" s="126"/>
      <c r="C58" s="47" t="s">
        <v>32</v>
      </c>
      <c r="D58" s="184" t="s">
        <v>236</v>
      </c>
      <c r="E58" s="14"/>
      <c r="F58" s="15" t="s">
        <v>156</v>
      </c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1"/>
      <c r="D60" s="371"/>
      <c r="E60" s="371"/>
      <c r="F60" s="371"/>
      <c r="G60" s="371"/>
      <c r="H60" s="371"/>
      <c r="I60" s="372"/>
    </row>
    <row r="61" spans="1:9" x14ac:dyDescent="0.25">
      <c r="A61" s="34"/>
      <c r="B61" s="18"/>
      <c r="C61" s="373"/>
      <c r="D61" s="373"/>
      <c r="E61" s="373"/>
      <c r="F61" s="373"/>
      <c r="G61" s="373"/>
      <c r="H61" s="373"/>
      <c r="I61" s="374"/>
    </row>
    <row r="62" spans="1:9" x14ac:dyDescent="0.25">
      <c r="A62" s="34"/>
      <c r="B62" s="18"/>
      <c r="C62" s="373"/>
      <c r="D62" s="373"/>
      <c r="E62" s="373"/>
      <c r="F62" s="373"/>
      <c r="G62" s="373"/>
      <c r="H62" s="373"/>
      <c r="I62" s="374"/>
    </row>
    <row r="63" spans="1:9" x14ac:dyDescent="0.25">
      <c r="A63" s="34"/>
      <c r="B63" s="18"/>
      <c r="C63" s="373"/>
      <c r="D63" s="373"/>
      <c r="E63" s="373"/>
      <c r="F63" s="373"/>
      <c r="G63" s="373"/>
      <c r="H63" s="373"/>
      <c r="I63" s="374"/>
    </row>
    <row r="64" spans="1:9" x14ac:dyDescent="0.25">
      <c r="A64" s="34"/>
      <c r="B64" s="18"/>
      <c r="C64" s="373"/>
      <c r="D64" s="373"/>
      <c r="E64" s="373"/>
      <c r="F64" s="373"/>
      <c r="G64" s="373"/>
      <c r="H64" s="373"/>
      <c r="I64" s="374"/>
    </row>
    <row r="65" spans="1:9" x14ac:dyDescent="0.25">
      <c r="A65" s="44"/>
      <c r="B65" s="45"/>
      <c r="C65" s="375"/>
      <c r="D65" s="375"/>
      <c r="E65" s="375"/>
      <c r="F65" s="375"/>
      <c r="G65" s="375"/>
      <c r="H65" s="375"/>
      <c r="I65" s="376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A1:G1"/>
    <mergeCell ref="A2:B2"/>
    <mergeCell ref="E2:F2"/>
    <mergeCell ref="H2:I2"/>
    <mergeCell ref="A3:B3"/>
    <mergeCell ref="E3:F3"/>
    <mergeCell ref="H3:I3"/>
    <mergeCell ref="H54:H55"/>
    <mergeCell ref="H56:H57"/>
    <mergeCell ref="C60:I65"/>
    <mergeCell ref="E4:F4"/>
    <mergeCell ref="A5:B5"/>
    <mergeCell ref="A6:B6"/>
    <mergeCell ref="C6:H6"/>
    <mergeCell ref="C27:H27"/>
    <mergeCell ref="C46:H46"/>
  </mergeCells>
  <conditionalFormatting sqref="C52:G52">
    <cfRule type="expression" dxfId="1940" priority="70">
      <formula>$F52="réalisé"</formula>
    </cfRule>
  </conditionalFormatting>
  <conditionalFormatting sqref="C48:C51 E48:H51 E29:H45 C8:H26">
    <cfRule type="expression" dxfId="1939" priority="67">
      <formula>$G8="réalisé"</formula>
    </cfRule>
    <cfRule type="expression" dxfId="1938" priority="68">
      <formula>$G8="en cours"</formula>
    </cfRule>
    <cfRule type="expression" dxfId="1937" priority="69">
      <formula>$G8="non compris"</formula>
    </cfRule>
  </conditionalFormatting>
  <conditionalFormatting sqref="C29:C45">
    <cfRule type="expression" dxfId="1936" priority="64">
      <formula>$G29="réalisé"</formula>
    </cfRule>
    <cfRule type="expression" dxfId="1935" priority="65">
      <formula>$G29="en cours"</formula>
    </cfRule>
    <cfRule type="expression" dxfId="1934" priority="66">
      <formula>$G29="non compris"</formula>
    </cfRule>
  </conditionalFormatting>
  <conditionalFormatting sqref="C55:F58">
    <cfRule type="expression" dxfId="1933" priority="63">
      <formula>$F55="réalisé"</formula>
    </cfRule>
  </conditionalFormatting>
  <conditionalFormatting sqref="G9">
    <cfRule type="expression" dxfId="1932" priority="62">
      <formula>$G$10="réalisé"</formula>
    </cfRule>
  </conditionalFormatting>
  <conditionalFormatting sqref="G10:G14">
    <cfRule type="expression" dxfId="1931" priority="61">
      <formula>$G$15="réalisé"</formula>
    </cfRule>
  </conditionalFormatting>
  <conditionalFormatting sqref="G20:G21">
    <cfRule type="expression" dxfId="1930" priority="60">
      <formula>$G$22="réalisé"</formula>
    </cfRule>
  </conditionalFormatting>
  <conditionalFormatting sqref="G30">
    <cfRule type="expression" dxfId="1929" priority="59">
      <formula>$G$31="réalisé"</formula>
    </cfRule>
  </conditionalFormatting>
  <conditionalFormatting sqref="D29">
    <cfRule type="expression" dxfId="1928" priority="56">
      <formula>$G29="réalisé"</formula>
    </cfRule>
    <cfRule type="expression" dxfId="1927" priority="57">
      <formula>$G29="en cours"</formula>
    </cfRule>
    <cfRule type="expression" dxfId="1926" priority="58">
      <formula>$G29="non compris"</formula>
    </cfRule>
  </conditionalFormatting>
  <conditionalFormatting sqref="D31">
    <cfRule type="expression" dxfId="1925" priority="53">
      <formula>$G31="réalisé"</formula>
    </cfRule>
    <cfRule type="expression" dxfId="1924" priority="54">
      <formula>$G31="en cours"</formula>
    </cfRule>
    <cfRule type="expression" dxfId="1923" priority="55">
      <formula>$G31="non compris"</formula>
    </cfRule>
  </conditionalFormatting>
  <conditionalFormatting sqref="D33">
    <cfRule type="expression" dxfId="1922" priority="50">
      <formula>$G33="réalisé"</formula>
    </cfRule>
    <cfRule type="expression" dxfId="1921" priority="51">
      <formula>$G33="en cours"</formula>
    </cfRule>
    <cfRule type="expression" dxfId="1920" priority="52">
      <formula>$G33="non compris"</formula>
    </cfRule>
  </conditionalFormatting>
  <conditionalFormatting sqref="D35">
    <cfRule type="expression" dxfId="1919" priority="47">
      <formula>$G35="réalisé"</formula>
    </cfRule>
    <cfRule type="expression" dxfId="1918" priority="48">
      <formula>$G35="en cours"</formula>
    </cfRule>
    <cfRule type="expression" dxfId="1917" priority="49">
      <formula>$G35="non compris"</formula>
    </cfRule>
  </conditionalFormatting>
  <conditionalFormatting sqref="D37">
    <cfRule type="expression" dxfId="1916" priority="44">
      <formula>$G37="réalisé"</formula>
    </cfRule>
    <cfRule type="expression" dxfId="1915" priority="45">
      <formula>$G37="en cours"</formula>
    </cfRule>
    <cfRule type="expression" dxfId="1914" priority="46">
      <formula>$G37="non compris"</formula>
    </cfRule>
  </conditionalFormatting>
  <conditionalFormatting sqref="D39">
    <cfRule type="expression" dxfId="1913" priority="41">
      <formula>$G39="réalisé"</formula>
    </cfRule>
    <cfRule type="expression" dxfId="1912" priority="42">
      <formula>$G39="en cours"</formula>
    </cfRule>
    <cfRule type="expression" dxfId="1911" priority="43">
      <formula>$G39="non compris"</formula>
    </cfRule>
  </conditionalFormatting>
  <conditionalFormatting sqref="D41">
    <cfRule type="expression" dxfId="1910" priority="38">
      <formula>$G41="réalisé"</formula>
    </cfRule>
    <cfRule type="expression" dxfId="1909" priority="39">
      <formula>$G41="en cours"</formula>
    </cfRule>
    <cfRule type="expression" dxfId="1908" priority="40">
      <formula>$G41="non compris"</formula>
    </cfRule>
  </conditionalFormatting>
  <conditionalFormatting sqref="D44:D45">
    <cfRule type="expression" dxfId="1907" priority="35">
      <formula>$G44="réalisé"</formula>
    </cfRule>
    <cfRule type="expression" dxfId="1906" priority="36">
      <formula>$G44="en cours"</formula>
    </cfRule>
    <cfRule type="expression" dxfId="1905" priority="37">
      <formula>$G44="non compris"</formula>
    </cfRule>
  </conditionalFormatting>
  <conditionalFormatting sqref="D30">
    <cfRule type="expression" dxfId="1904" priority="32">
      <formula>$G30="réalisé"</formula>
    </cfRule>
    <cfRule type="expression" dxfId="1903" priority="33">
      <formula>$G30="en cours"</formula>
    </cfRule>
    <cfRule type="expression" dxfId="1902" priority="34">
      <formula>$G30="non compris"</formula>
    </cfRule>
  </conditionalFormatting>
  <conditionalFormatting sqref="D32">
    <cfRule type="expression" dxfId="1901" priority="29">
      <formula>$G32="réalisé"</formula>
    </cfRule>
    <cfRule type="expression" dxfId="1900" priority="30">
      <formula>$G32="en cours"</formula>
    </cfRule>
    <cfRule type="expression" dxfId="1899" priority="31">
      <formula>$G32="non compris"</formula>
    </cfRule>
  </conditionalFormatting>
  <conditionalFormatting sqref="D34">
    <cfRule type="expression" dxfId="1898" priority="26">
      <formula>$G34="réalisé"</formula>
    </cfRule>
    <cfRule type="expression" dxfId="1897" priority="27">
      <formula>$G34="en cours"</formula>
    </cfRule>
    <cfRule type="expression" dxfId="1896" priority="28">
      <formula>$G34="non compris"</formula>
    </cfRule>
  </conditionalFormatting>
  <conditionalFormatting sqref="D36">
    <cfRule type="expression" dxfId="1895" priority="23">
      <formula>$G36="réalisé"</formula>
    </cfRule>
    <cfRule type="expression" dxfId="1894" priority="24">
      <formula>$G36="en cours"</formula>
    </cfRule>
    <cfRule type="expression" dxfId="1893" priority="25">
      <formula>$G36="non compris"</formula>
    </cfRule>
  </conditionalFormatting>
  <conditionalFormatting sqref="D38">
    <cfRule type="expression" dxfId="1892" priority="20">
      <formula>$G38="réalisé"</formula>
    </cfRule>
    <cfRule type="expression" dxfId="1891" priority="21">
      <formula>$G38="en cours"</formula>
    </cfRule>
    <cfRule type="expression" dxfId="1890" priority="22">
      <formula>$G38="non compris"</formula>
    </cfRule>
  </conditionalFormatting>
  <conditionalFormatting sqref="D40">
    <cfRule type="expression" dxfId="1889" priority="17">
      <formula>$G40="réalisé"</formula>
    </cfRule>
    <cfRule type="expression" dxfId="1888" priority="18">
      <formula>$G40="en cours"</formula>
    </cfRule>
    <cfRule type="expression" dxfId="1887" priority="19">
      <formula>$G40="non compris"</formula>
    </cfRule>
  </conditionalFormatting>
  <conditionalFormatting sqref="D42:D43">
    <cfRule type="expression" dxfId="1886" priority="14">
      <formula>$G42="réalisé"</formula>
    </cfRule>
    <cfRule type="expression" dxfId="1885" priority="15">
      <formula>$G42="en cours"</formula>
    </cfRule>
    <cfRule type="expression" dxfId="1884" priority="16">
      <formula>$G42="non compris"</formula>
    </cfRule>
  </conditionalFormatting>
  <conditionalFormatting sqref="D50">
    <cfRule type="expression" dxfId="1883" priority="11">
      <formula>$G50="réalisé"</formula>
    </cfRule>
    <cfRule type="expression" dxfId="1882" priority="12">
      <formula>$G50="en cours"</formula>
    </cfRule>
    <cfRule type="expression" dxfId="1881" priority="13">
      <formula>$G50="non compris"</formula>
    </cfRule>
  </conditionalFormatting>
  <conditionalFormatting sqref="D49">
    <cfRule type="expression" dxfId="1880" priority="8">
      <formula>$G49="réalisé"</formula>
    </cfRule>
    <cfRule type="expression" dxfId="1879" priority="9">
      <formula>$G49="en cours"</formula>
    </cfRule>
    <cfRule type="expression" dxfId="1878" priority="10">
      <formula>$G49="non compris"</formula>
    </cfRule>
  </conditionalFormatting>
  <conditionalFormatting sqref="D48">
    <cfRule type="expression" dxfId="1877" priority="5">
      <formula>$G48="réalisé"</formula>
    </cfRule>
    <cfRule type="expression" dxfId="1876" priority="6">
      <formula>$G48="en cours"</formula>
    </cfRule>
    <cfRule type="expression" dxfId="1875" priority="7">
      <formula>$G48="non compris"</formula>
    </cfRule>
  </conditionalFormatting>
  <conditionalFormatting sqref="D51">
    <cfRule type="expression" dxfId="1874" priority="2">
      <formula>$G51="réalisé"</formula>
    </cfRule>
    <cfRule type="expression" dxfId="1873" priority="3">
      <formula>$G51="en cours"</formula>
    </cfRule>
    <cfRule type="expression" dxfId="1872" priority="4">
      <formula>$G51="non compris"</formula>
    </cfRule>
  </conditionalFormatting>
  <conditionalFormatting sqref="D8:D26">
    <cfRule type="expression" dxfId="1871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82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>
    <tabColor rgb="FF00B050"/>
    <pageSetUpPr fitToPage="1"/>
  </sheetPr>
  <dimension ref="A1:I74"/>
  <sheetViews>
    <sheetView topLeftCell="A3" zoomScaleNormal="100" workbookViewId="0">
      <selection activeCell="E25" sqref="E25"/>
    </sheetView>
  </sheetViews>
  <sheetFormatPr baseColWidth="10" defaultRowHeight="15" x14ac:dyDescent="0.25"/>
  <cols>
    <col min="1" max="1" width="10.85546875" style="246" customWidth="1"/>
    <col min="2" max="2" width="10.710937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7" t="s">
        <v>0</v>
      </c>
      <c r="B1" s="378"/>
      <c r="C1" s="378"/>
      <c r="D1" s="378"/>
      <c r="E1" s="378"/>
      <c r="F1" s="378"/>
      <c r="G1" s="378"/>
      <c r="H1" s="1" t="s">
        <v>1</v>
      </c>
      <c r="I1" s="3">
        <f ca="1">INT(MOD(INT((LISTE!D1-2)/7)+0.6,52+5/28))+1</f>
        <v>41</v>
      </c>
    </row>
    <row r="2" spans="1:9" x14ac:dyDescent="0.25">
      <c r="A2" s="390" t="s">
        <v>2</v>
      </c>
      <c r="B2" s="391"/>
      <c r="C2" s="70" t="str">
        <f ca="1">MID(CELL("nomfichier",A1),FIND("]",CELL("nomfichier",A1),1)+1,30)</f>
        <v>MEUNIER-SCHLEWITZ</v>
      </c>
      <c r="D2" s="4" t="s">
        <v>72</v>
      </c>
      <c r="E2" s="379">
        <v>43077</v>
      </c>
      <c r="F2" s="379"/>
      <c r="G2" s="5"/>
      <c r="H2" s="380" t="s">
        <v>143</v>
      </c>
      <c r="I2" s="381"/>
    </row>
    <row r="3" spans="1:9" ht="15.75" x14ac:dyDescent="0.25">
      <c r="A3" s="392" t="s">
        <v>106</v>
      </c>
      <c r="B3" s="384"/>
      <c r="C3" s="6" t="s">
        <v>173</v>
      </c>
      <c r="D3" s="7" t="s">
        <v>3</v>
      </c>
      <c r="E3" s="382">
        <v>43178</v>
      </c>
      <c r="F3" s="383"/>
      <c r="G3" s="8"/>
      <c r="H3" s="384" t="str">
        <f ca="1">DATEDIF(E3,TODAY(),"m")&amp;"mois"&amp;-DATEDIF(E3,TODAY(),"md")&amp;"jours"</f>
        <v>6mois-23jours</v>
      </c>
      <c r="I3" s="385"/>
    </row>
    <row r="4" spans="1:9" ht="18.75" x14ac:dyDescent="0.25">
      <c r="A4" s="247" t="s">
        <v>117</v>
      </c>
      <c r="B4" s="129"/>
      <c r="C4" s="9" t="s">
        <v>121</v>
      </c>
      <c r="D4" s="10" t="s">
        <v>4</v>
      </c>
      <c r="E4" s="386">
        <f>E3+60</f>
        <v>43238</v>
      </c>
      <c r="F4" s="386"/>
      <c r="G4" s="11"/>
      <c r="H4" s="12"/>
      <c r="I4" s="13"/>
    </row>
    <row r="5" spans="1:9" x14ac:dyDescent="0.25">
      <c r="A5" s="393" t="s">
        <v>76</v>
      </c>
      <c r="B5" s="394"/>
      <c r="C5" s="15"/>
      <c r="D5" s="16"/>
      <c r="E5" s="15"/>
      <c r="F5" s="15"/>
      <c r="G5" s="17"/>
      <c r="H5" s="18"/>
      <c r="I5" s="19"/>
    </row>
    <row r="6" spans="1:9" ht="18.75" x14ac:dyDescent="0.3">
      <c r="A6" s="395" t="s">
        <v>75</v>
      </c>
      <c r="B6" s="396"/>
      <c r="C6" s="387" t="s">
        <v>145</v>
      </c>
      <c r="D6" s="388"/>
      <c r="E6" s="388"/>
      <c r="F6" s="388"/>
      <c r="G6" s="388"/>
      <c r="H6" s="389"/>
      <c r="I6" s="19"/>
    </row>
    <row r="7" spans="1:9" s="138" customFormat="1" ht="15.75" thickBot="1" x14ac:dyDescent="0.3">
      <c r="A7" s="231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218"/>
    </row>
    <row r="8" spans="1:9" s="138" customFormat="1" x14ac:dyDescent="0.25">
      <c r="A8" s="232"/>
      <c r="B8" s="200"/>
      <c r="C8" s="214" t="s">
        <v>124</v>
      </c>
      <c r="D8" s="98" t="s">
        <v>114</v>
      </c>
      <c r="E8" s="215">
        <v>15</v>
      </c>
      <c r="F8" s="216"/>
      <c r="G8" s="217" t="s">
        <v>36</v>
      </c>
      <c r="H8" s="27"/>
      <c r="I8" s="218"/>
    </row>
    <row r="9" spans="1:9" s="138" customFormat="1" x14ac:dyDescent="0.25">
      <c r="A9" s="232"/>
      <c r="B9" s="130"/>
      <c r="C9" s="214" t="s">
        <v>131</v>
      </c>
      <c r="D9" s="100" t="str">
        <f>D8</f>
        <v>DEBÈS CONSTRUCTION</v>
      </c>
      <c r="E9" s="219">
        <f>E8+1</f>
        <v>16</v>
      </c>
      <c r="F9" s="220"/>
      <c r="G9" s="221" t="s">
        <v>36</v>
      </c>
      <c r="H9" s="27"/>
      <c r="I9" s="218"/>
    </row>
    <row r="10" spans="1:9" s="138" customFormat="1" ht="15" customHeight="1" x14ac:dyDescent="0.25">
      <c r="A10" s="233"/>
      <c r="B10" s="182"/>
      <c r="C10" s="214" t="s">
        <v>132</v>
      </c>
      <c r="D10" s="98" t="str">
        <f>D9</f>
        <v>DEBÈS CONSTRUCTION</v>
      </c>
      <c r="E10" s="215">
        <f>E9</f>
        <v>16</v>
      </c>
      <c r="F10" s="222"/>
      <c r="G10" s="221" t="s">
        <v>36</v>
      </c>
      <c r="H10" s="27"/>
      <c r="I10" s="218"/>
    </row>
    <row r="11" spans="1:9" s="138" customFormat="1" ht="15" customHeight="1" x14ac:dyDescent="0.25">
      <c r="A11" s="233"/>
      <c r="B11" s="132"/>
      <c r="C11" s="214" t="s">
        <v>133</v>
      </c>
      <c r="D11" s="155" t="str">
        <f>D8</f>
        <v>DEBÈS CONSTRUCTION</v>
      </c>
      <c r="E11" s="215">
        <v>28</v>
      </c>
      <c r="F11" s="222"/>
      <c r="G11" s="221" t="s">
        <v>36</v>
      </c>
      <c r="H11" s="27"/>
      <c r="I11" s="218"/>
    </row>
    <row r="12" spans="1:9" s="138" customFormat="1" ht="15" customHeight="1" x14ac:dyDescent="0.25">
      <c r="A12" s="260">
        <v>14589.68</v>
      </c>
      <c r="B12" s="234">
        <f>A12-14589.68</f>
        <v>0</v>
      </c>
      <c r="C12" s="214" t="s">
        <v>134</v>
      </c>
      <c r="D12" s="155" t="str">
        <f t="shared" ref="D12:D14" si="0">D9</f>
        <v>DEBÈS CONSTRUCTION</v>
      </c>
      <c r="E12" s="215">
        <f>E11+2</f>
        <v>30</v>
      </c>
      <c r="F12" s="222"/>
      <c r="G12" s="221" t="s">
        <v>36</v>
      </c>
      <c r="H12" s="27"/>
      <c r="I12" s="218"/>
    </row>
    <row r="13" spans="1:9" s="138" customFormat="1" ht="15" customHeight="1" x14ac:dyDescent="0.25">
      <c r="A13" s="233"/>
      <c r="B13" s="132"/>
      <c r="C13" s="214" t="s">
        <v>135</v>
      </c>
      <c r="D13" s="155" t="str">
        <f t="shared" si="0"/>
        <v>DEBÈS CONSTRUCTION</v>
      </c>
      <c r="E13" s="215">
        <f>E12+1</f>
        <v>31</v>
      </c>
      <c r="F13" s="222"/>
      <c r="G13" s="221" t="s">
        <v>36</v>
      </c>
      <c r="H13" s="27"/>
      <c r="I13" s="218"/>
    </row>
    <row r="14" spans="1:9" s="138" customFormat="1" ht="15" customHeight="1" x14ac:dyDescent="0.25">
      <c r="A14" s="233"/>
      <c r="B14" s="132"/>
      <c r="C14" s="214" t="s">
        <v>136</v>
      </c>
      <c r="D14" s="155" t="str">
        <f t="shared" si="0"/>
        <v>DEBÈS CONSTRUCTION</v>
      </c>
      <c r="E14" s="215">
        <f>E13</f>
        <v>31</v>
      </c>
      <c r="F14" s="222"/>
      <c r="G14" s="221" t="s">
        <v>36</v>
      </c>
      <c r="H14" s="27"/>
      <c r="I14" s="218"/>
    </row>
    <row r="15" spans="1:9" s="138" customFormat="1" x14ac:dyDescent="0.25">
      <c r="A15" s="233"/>
      <c r="B15" s="132"/>
      <c r="C15" s="214" t="s">
        <v>62</v>
      </c>
      <c r="D15" s="100" t="s">
        <v>64</v>
      </c>
      <c r="E15" s="223">
        <v>35</v>
      </c>
      <c r="F15" s="220"/>
      <c r="G15" s="221" t="s">
        <v>70</v>
      </c>
      <c r="H15" s="27"/>
      <c r="I15" s="218"/>
    </row>
    <row r="16" spans="1:9" s="138" customFormat="1" x14ac:dyDescent="0.25">
      <c r="A16" s="233"/>
      <c r="B16" s="132"/>
      <c r="C16" s="214" t="s">
        <v>10</v>
      </c>
      <c r="D16" s="98" t="s">
        <v>64</v>
      </c>
      <c r="E16" s="223">
        <v>35</v>
      </c>
      <c r="F16" s="220"/>
      <c r="G16" s="221" t="s">
        <v>70</v>
      </c>
      <c r="H16" s="27"/>
      <c r="I16" s="218"/>
    </row>
    <row r="17" spans="1:9" s="138" customFormat="1" x14ac:dyDescent="0.25">
      <c r="A17" s="313"/>
      <c r="B17" s="132"/>
      <c r="C17" s="214" t="s">
        <v>11</v>
      </c>
      <c r="D17" s="100" t="s">
        <v>176</v>
      </c>
      <c r="E17" s="223">
        <v>36</v>
      </c>
      <c r="F17" s="220"/>
      <c r="G17" s="221" t="s">
        <v>36</v>
      </c>
      <c r="H17" s="27"/>
      <c r="I17" s="218"/>
    </row>
    <row r="18" spans="1:9" s="138" customFormat="1" x14ac:dyDescent="0.25">
      <c r="A18" s="254">
        <v>1108.6199999999999</v>
      </c>
      <c r="B18" s="234">
        <f>A18-1108.62</f>
        <v>0</v>
      </c>
      <c r="C18" s="214" t="s">
        <v>12</v>
      </c>
      <c r="D18" s="98" t="s">
        <v>41</v>
      </c>
      <c r="E18" s="215">
        <v>37</v>
      </c>
      <c r="F18" s="220"/>
      <c r="G18" s="221" t="s">
        <v>36</v>
      </c>
      <c r="H18" s="27"/>
      <c r="I18" s="218"/>
    </row>
    <row r="19" spans="1:9" s="138" customFormat="1" x14ac:dyDescent="0.25">
      <c r="A19" s="233"/>
      <c r="B19" s="132"/>
      <c r="C19" s="214" t="s">
        <v>73</v>
      </c>
      <c r="D19" s="100" t="str">
        <f>D10</f>
        <v>DEBÈS CONSTRUCTION</v>
      </c>
      <c r="E19" s="223">
        <v>38</v>
      </c>
      <c r="F19" s="220"/>
      <c r="G19" s="221" t="s">
        <v>36</v>
      </c>
      <c r="H19" s="27"/>
      <c r="I19" s="218"/>
    </row>
    <row r="20" spans="1:9" s="138" customFormat="1" x14ac:dyDescent="0.25">
      <c r="A20" s="253">
        <v>1080.68</v>
      </c>
      <c r="B20" s="234">
        <f>A20-1080.68</f>
        <v>0</v>
      </c>
      <c r="C20" s="214" t="s">
        <v>59</v>
      </c>
      <c r="D20" s="98" t="s">
        <v>41</v>
      </c>
      <c r="E20" s="223">
        <f>IF(E19="","",MOD(E19+1,52))</f>
        <v>39</v>
      </c>
      <c r="F20" s="220"/>
      <c r="G20" s="221" t="s">
        <v>36</v>
      </c>
      <c r="H20" s="27"/>
      <c r="I20" s="218"/>
    </row>
    <row r="21" spans="1:9" s="138" customFormat="1" x14ac:dyDescent="0.25">
      <c r="A21" s="253">
        <v>543.30999999999995</v>
      </c>
      <c r="B21" s="234">
        <f>A21-543.31</f>
        <v>0</v>
      </c>
      <c r="C21" s="214" t="s">
        <v>60</v>
      </c>
      <c r="D21" s="155" t="s">
        <v>44</v>
      </c>
      <c r="E21" s="223">
        <f>E20</f>
        <v>39</v>
      </c>
      <c r="F21" s="220"/>
      <c r="G21" s="221" t="s">
        <v>36</v>
      </c>
      <c r="H21" s="50"/>
      <c r="I21" s="218"/>
    </row>
    <row r="22" spans="1:9" s="138" customFormat="1" x14ac:dyDescent="0.25">
      <c r="A22" s="233"/>
      <c r="B22" s="132"/>
      <c r="C22" s="225" t="s">
        <v>13</v>
      </c>
      <c r="D22" s="226" t="s">
        <v>68</v>
      </c>
      <c r="E22" s="227">
        <f>E20</f>
        <v>39</v>
      </c>
      <c r="F22" s="228"/>
      <c r="G22" s="229" t="s">
        <v>9</v>
      </c>
      <c r="H22" s="190"/>
      <c r="I22" s="218"/>
    </row>
    <row r="23" spans="1:9" s="138" customFormat="1" x14ac:dyDescent="0.25">
      <c r="A23" s="254">
        <v>2594.66</v>
      </c>
      <c r="B23" s="275">
        <f>A23-2594.66</f>
        <v>0</v>
      </c>
      <c r="C23" s="224" t="s">
        <v>138</v>
      </c>
      <c r="D23" s="98" t="s">
        <v>45</v>
      </c>
      <c r="E23" s="223">
        <v>41</v>
      </c>
      <c r="F23" s="220"/>
      <c r="G23" s="221" t="s">
        <v>9</v>
      </c>
      <c r="H23" s="27"/>
      <c r="I23" s="218"/>
    </row>
    <row r="24" spans="1:9" s="138" customFormat="1" x14ac:dyDescent="0.25">
      <c r="A24" s="233"/>
      <c r="B24" s="132"/>
      <c r="C24" s="214" t="s">
        <v>14</v>
      </c>
      <c r="D24" s="100" t="s">
        <v>176</v>
      </c>
      <c r="E24" s="223">
        <f>IF(E20="","",MOD(E20+2,52))</f>
        <v>41</v>
      </c>
      <c r="F24" s="220"/>
      <c r="G24" s="221" t="s">
        <v>9</v>
      </c>
      <c r="H24" s="27"/>
      <c r="I24" s="218"/>
    </row>
    <row r="25" spans="1:9" x14ac:dyDescent="0.25">
      <c r="A25" s="314"/>
      <c r="B25" s="143">
        <f>A25</f>
        <v>0</v>
      </c>
      <c r="C25" s="183" t="s">
        <v>137</v>
      </c>
      <c r="D25" s="53" t="s">
        <v>55</v>
      </c>
      <c r="E25" s="24">
        <f>E23</f>
        <v>41</v>
      </c>
      <c r="F25" s="29"/>
      <c r="G25" s="72" t="s">
        <v>9</v>
      </c>
      <c r="H25" s="27"/>
      <c r="I25" s="19"/>
    </row>
    <row r="26" spans="1:9" x14ac:dyDescent="0.25">
      <c r="A26" s="233"/>
      <c r="B26" s="132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235"/>
      <c r="B27" s="146"/>
      <c r="C27" s="387" t="s">
        <v>144</v>
      </c>
      <c r="D27" s="388"/>
      <c r="E27" s="388"/>
      <c r="F27" s="388"/>
      <c r="G27" s="388"/>
      <c r="H27" s="389"/>
      <c r="I27" s="19"/>
    </row>
    <row r="28" spans="1:9" ht="15.75" thickBot="1" x14ac:dyDescent="0.3">
      <c r="A28" s="233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254">
        <v>876.65</v>
      </c>
      <c r="B29" s="234">
        <f>A29</f>
        <v>876.65</v>
      </c>
      <c r="C29" s="78" t="s">
        <v>66</v>
      </c>
      <c r="D29" s="52" t="s">
        <v>49</v>
      </c>
      <c r="E29" s="79">
        <f>IF(E24="","",MOD(E24+1,52))</f>
        <v>42</v>
      </c>
      <c r="F29" s="25"/>
      <c r="G29" s="26" t="s">
        <v>9</v>
      </c>
      <c r="H29" s="27"/>
      <c r="I29" s="19"/>
    </row>
    <row r="30" spans="1:9" x14ac:dyDescent="0.25">
      <c r="A30" s="254">
        <v>2044</v>
      </c>
      <c r="B30" s="234">
        <f t="shared" ref="B30:B34" si="1">A30</f>
        <v>2044</v>
      </c>
      <c r="C30" s="28" t="s">
        <v>67</v>
      </c>
      <c r="D30" s="53" t="s">
        <v>47</v>
      </c>
      <c r="E30" s="24">
        <f>IF(E29="","",MOD(E29+1,52))</f>
        <v>43</v>
      </c>
      <c r="F30" s="29"/>
      <c r="G30" s="30"/>
      <c r="H30" s="27"/>
      <c r="I30" s="19"/>
    </row>
    <row r="31" spans="1:9" x14ac:dyDescent="0.25">
      <c r="A31" s="233"/>
      <c r="B31" s="234"/>
      <c r="C31" s="62" t="s">
        <v>16</v>
      </c>
      <c r="D31" s="52" t="s">
        <v>49</v>
      </c>
      <c r="E31" s="24">
        <f>IF(E30="","",MOD(E30+2,52))</f>
        <v>45</v>
      </c>
      <c r="F31" s="29"/>
      <c r="G31" s="30"/>
      <c r="H31" s="27"/>
      <c r="I31" s="19"/>
    </row>
    <row r="32" spans="1:9" x14ac:dyDescent="0.25">
      <c r="A32" s="254">
        <v>328.32</v>
      </c>
      <c r="B32" s="234">
        <f t="shared" si="1"/>
        <v>328.32</v>
      </c>
      <c r="C32" s="80" t="s">
        <v>17</v>
      </c>
      <c r="D32" s="53" t="s">
        <v>128</v>
      </c>
      <c r="E32" s="24">
        <f>IF(E30="","",MOD(E30+2,52))</f>
        <v>45</v>
      </c>
      <c r="F32" s="29"/>
      <c r="G32" s="30"/>
      <c r="H32" s="27"/>
      <c r="I32" s="19"/>
    </row>
    <row r="33" spans="1:9" x14ac:dyDescent="0.25">
      <c r="A33" s="234"/>
      <c r="B33" s="234"/>
      <c r="C33" s="62" t="s">
        <v>140</v>
      </c>
      <c r="D33" s="52" t="s">
        <v>128</v>
      </c>
      <c r="E33" s="24">
        <f>IF(E32="","",MOD(E32+1,52))</f>
        <v>46</v>
      </c>
      <c r="F33" s="29"/>
      <c r="G33" s="30"/>
      <c r="H33" s="27"/>
      <c r="I33" s="19"/>
    </row>
    <row r="34" spans="1:9" x14ac:dyDescent="0.25">
      <c r="A34" s="254">
        <v>919.46</v>
      </c>
      <c r="B34" s="234">
        <f t="shared" si="1"/>
        <v>919.46</v>
      </c>
      <c r="C34" s="28" t="s">
        <v>141</v>
      </c>
      <c r="D34" s="53" t="s">
        <v>128</v>
      </c>
      <c r="E34" s="24">
        <f>IF(E32="","",MOD(E32+1,52))</f>
        <v>46</v>
      </c>
      <c r="F34" s="29"/>
      <c r="G34" s="30"/>
      <c r="H34" s="27"/>
      <c r="I34" s="19"/>
    </row>
    <row r="35" spans="1:9" x14ac:dyDescent="0.25">
      <c r="A35" s="313"/>
      <c r="B35" s="132"/>
      <c r="C35" s="80" t="s">
        <v>178</v>
      </c>
      <c r="D35" s="103" t="s">
        <v>58</v>
      </c>
      <c r="E35" s="156">
        <v>45</v>
      </c>
      <c r="F35" s="105"/>
      <c r="G35" s="106"/>
      <c r="H35" s="27"/>
      <c r="I35" s="19"/>
    </row>
    <row r="36" spans="1:9" x14ac:dyDescent="0.25">
      <c r="A36" s="314"/>
      <c r="B36" s="143">
        <f>A36</f>
        <v>0</v>
      </c>
      <c r="C36" s="28" t="s">
        <v>19</v>
      </c>
      <c r="D36" s="53" t="s">
        <v>53</v>
      </c>
      <c r="E36" s="24">
        <f>IF(E34="","",MOD(E34+1,52))</f>
        <v>47</v>
      </c>
      <c r="F36" s="29"/>
      <c r="G36" s="30"/>
      <c r="H36" s="27"/>
      <c r="I36" s="19"/>
    </row>
    <row r="37" spans="1:9" x14ac:dyDescent="0.25">
      <c r="A37" s="233"/>
      <c r="B37" s="132"/>
      <c r="C37" s="28" t="s">
        <v>20</v>
      </c>
      <c r="D37" s="52" t="str">
        <f>D30</f>
        <v>SOARES</v>
      </c>
      <c r="E37" s="24">
        <f>IF(E36="","",MOD(E36+1,52))</f>
        <v>48</v>
      </c>
      <c r="F37" s="29"/>
      <c r="G37" s="30"/>
      <c r="H37" s="27"/>
      <c r="I37" s="19"/>
    </row>
    <row r="38" spans="1:9" x14ac:dyDescent="0.25">
      <c r="A38" s="233"/>
      <c r="B38" s="132"/>
      <c r="C38" s="28" t="s">
        <v>21</v>
      </c>
      <c r="D38" s="53" t="str">
        <f>D29</f>
        <v>BENELEC</v>
      </c>
      <c r="E38" s="24">
        <f>IF(E37="","",MOD(E37+1,52))</f>
        <v>49</v>
      </c>
      <c r="F38" s="29"/>
      <c r="G38" s="30" t="s">
        <v>9</v>
      </c>
      <c r="H38" s="27"/>
      <c r="I38" s="19"/>
    </row>
    <row r="39" spans="1:9" x14ac:dyDescent="0.25">
      <c r="A39" s="233"/>
      <c r="B39" s="132"/>
      <c r="C39" s="28" t="s">
        <v>22</v>
      </c>
      <c r="D39" s="52" t="str">
        <f>D32</f>
        <v>MEYER</v>
      </c>
      <c r="E39" s="24">
        <f>IF(E37="","",MOD(E37+1,52))</f>
        <v>49</v>
      </c>
      <c r="F39" s="29"/>
      <c r="G39" s="30"/>
      <c r="H39" s="27"/>
      <c r="I39" s="19"/>
    </row>
    <row r="40" spans="1:9" x14ac:dyDescent="0.25">
      <c r="A40" s="313"/>
      <c r="B40" s="132"/>
      <c r="C40" s="28" t="s">
        <v>23</v>
      </c>
      <c r="D40" s="53" t="s">
        <v>53</v>
      </c>
      <c r="E40" s="24">
        <f>E36+4</f>
        <v>51</v>
      </c>
      <c r="F40" s="29"/>
      <c r="G40" s="30" t="s">
        <v>9</v>
      </c>
      <c r="H40" s="27"/>
      <c r="I40" s="19"/>
    </row>
    <row r="41" spans="1:9" x14ac:dyDescent="0.25">
      <c r="A41" s="233"/>
      <c r="B41" s="132"/>
      <c r="C41" s="28" t="s">
        <v>24</v>
      </c>
      <c r="D41" s="52" t="s">
        <v>64</v>
      </c>
      <c r="E41" s="24">
        <f>E39+1</f>
        <v>50</v>
      </c>
      <c r="F41" s="29"/>
      <c r="G41" s="30" t="s">
        <v>70</v>
      </c>
      <c r="H41" s="27"/>
      <c r="I41" s="19"/>
    </row>
    <row r="42" spans="1:9" x14ac:dyDescent="0.25">
      <c r="A42" s="233"/>
      <c r="B42" s="132"/>
      <c r="C42" s="28" t="s">
        <v>25</v>
      </c>
      <c r="D42" s="53" t="str">
        <f>D34</f>
        <v>MEYER</v>
      </c>
      <c r="E42" s="24">
        <f>IF(E40="","",MOD(E40+2,52))</f>
        <v>1</v>
      </c>
      <c r="F42" s="29"/>
      <c r="G42" s="30"/>
      <c r="H42" s="27"/>
      <c r="I42" s="19"/>
    </row>
    <row r="43" spans="1:9" x14ac:dyDescent="0.25">
      <c r="A43" s="234"/>
      <c r="B43" s="143">
        <f>A43</f>
        <v>0</v>
      </c>
      <c r="C43" s="81" t="s">
        <v>147</v>
      </c>
      <c r="D43" s="52" t="s">
        <v>64</v>
      </c>
      <c r="E43" s="82">
        <f>E44</f>
        <v>1</v>
      </c>
      <c r="F43" s="83"/>
      <c r="G43" s="72"/>
      <c r="H43" s="27"/>
      <c r="I43" s="19"/>
    </row>
    <row r="44" spans="1:9" x14ac:dyDescent="0.25">
      <c r="A44" s="314"/>
      <c r="B44" s="143">
        <f>A44</f>
        <v>0</v>
      </c>
      <c r="C44" s="81" t="s">
        <v>139</v>
      </c>
      <c r="D44" s="193" t="s">
        <v>54</v>
      </c>
      <c r="E44" s="82">
        <f>IF(E40="","",MOD(E40+2,52))</f>
        <v>1</v>
      </c>
      <c r="F44" s="83"/>
      <c r="G44" s="72"/>
      <c r="H44" s="194"/>
      <c r="I44" s="19"/>
    </row>
    <row r="45" spans="1:9" x14ac:dyDescent="0.25">
      <c r="A45" s="233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235"/>
      <c r="B46" s="146"/>
      <c r="C46" s="387" t="s">
        <v>146</v>
      </c>
      <c r="D46" s="388"/>
      <c r="E46" s="388"/>
      <c r="F46" s="388"/>
      <c r="G46" s="388"/>
      <c r="H46" s="389"/>
      <c r="I46" s="19"/>
    </row>
    <row r="47" spans="1:9" ht="15.75" thickBot="1" x14ac:dyDescent="0.3">
      <c r="A47" s="233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254"/>
      <c r="B48" s="143">
        <f>A48</f>
        <v>0</v>
      </c>
      <c r="C48" s="88" t="s">
        <v>26</v>
      </c>
      <c r="D48" s="52" t="s">
        <v>57</v>
      </c>
      <c r="E48" s="89">
        <f>E32+1</f>
        <v>46</v>
      </c>
      <c r="F48" s="25"/>
      <c r="G48" s="26"/>
      <c r="H48" s="27"/>
      <c r="I48" s="19"/>
    </row>
    <row r="49" spans="1:9" x14ac:dyDescent="0.25">
      <c r="A49" s="236"/>
      <c r="B49" s="173"/>
      <c r="C49" s="102" t="s">
        <v>69</v>
      </c>
      <c r="D49" s="103" t="s">
        <v>64</v>
      </c>
      <c r="E49" s="104">
        <f>E48</f>
        <v>46</v>
      </c>
      <c r="F49" s="105"/>
      <c r="G49" s="106" t="s">
        <v>70</v>
      </c>
      <c r="H49" s="27"/>
      <c r="I49" s="19"/>
    </row>
    <row r="50" spans="1:9" x14ac:dyDescent="0.25">
      <c r="A50" s="236"/>
      <c r="B50" s="173"/>
      <c r="C50" s="92" t="s">
        <v>61</v>
      </c>
      <c r="D50" s="99" t="s">
        <v>68</v>
      </c>
      <c r="E50" s="101">
        <f>E48+1</f>
        <v>47</v>
      </c>
      <c r="F50" s="95"/>
      <c r="G50" s="96" t="s">
        <v>9</v>
      </c>
      <c r="H50" s="97"/>
      <c r="I50" s="19"/>
    </row>
    <row r="51" spans="1:9" x14ac:dyDescent="0.25">
      <c r="A51" s="315">
        <f>SUM(A8:A50)</f>
        <v>24085.38</v>
      </c>
      <c r="B51" s="315">
        <f>SUM(B8:B50)</f>
        <v>4168.43</v>
      </c>
      <c r="C51" s="91" t="s">
        <v>27</v>
      </c>
      <c r="D51" s="52" t="s">
        <v>64</v>
      </c>
      <c r="E51" s="90">
        <f>E48+3</f>
        <v>49</v>
      </c>
      <c r="F51" s="29"/>
      <c r="G51" s="72" t="s">
        <v>70</v>
      </c>
      <c r="H51" s="27"/>
      <c r="I51" s="19"/>
    </row>
    <row r="52" spans="1:9" x14ac:dyDescent="0.25">
      <c r="A52" s="237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238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237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7" t="s">
        <v>142</v>
      </c>
      <c r="I54" s="19"/>
    </row>
    <row r="55" spans="1:9" x14ac:dyDescent="0.25">
      <c r="A55" s="239"/>
      <c r="B55" s="126"/>
      <c r="C55" s="43" t="s">
        <v>122</v>
      </c>
      <c r="D55" s="107">
        <v>43108</v>
      </c>
      <c r="E55" s="44"/>
      <c r="F55" s="45" t="s">
        <v>109</v>
      </c>
      <c r="G55" s="18"/>
      <c r="H55" s="398"/>
      <c r="I55" s="19"/>
    </row>
    <row r="56" spans="1:9" x14ac:dyDescent="0.25">
      <c r="A56" s="239"/>
      <c r="B56" s="126"/>
      <c r="C56" s="33" t="s">
        <v>123</v>
      </c>
      <c r="D56" s="49">
        <v>43130</v>
      </c>
      <c r="E56" s="46"/>
      <c r="F56" s="2" t="s">
        <v>109</v>
      </c>
      <c r="G56" s="18"/>
      <c r="H56" s="399" t="e">
        <f>DATEDIF(E3,D58,"m")&amp;"mois"&amp;DATEDIF(E3,D58,"md")&amp;"jours"</f>
        <v>#NUM!</v>
      </c>
      <c r="I56" s="19"/>
    </row>
    <row r="57" spans="1:9" ht="15.75" thickBot="1" x14ac:dyDescent="0.3">
      <c r="A57" s="239"/>
      <c r="B57" s="126"/>
      <c r="C57" s="33" t="s">
        <v>31</v>
      </c>
      <c r="D57" s="176"/>
      <c r="E57" s="46"/>
      <c r="F57" s="2"/>
      <c r="G57" s="18"/>
      <c r="H57" s="400"/>
      <c r="I57" s="19"/>
    </row>
    <row r="58" spans="1:9" x14ac:dyDescent="0.25">
      <c r="A58" s="239"/>
      <c r="B58" s="126"/>
      <c r="C58" s="47" t="s">
        <v>32</v>
      </c>
      <c r="D58" s="184"/>
      <c r="E58" s="14"/>
      <c r="F58" s="15"/>
      <c r="G58" s="18"/>
      <c r="H58" s="18"/>
      <c r="I58" s="19"/>
    </row>
    <row r="59" spans="1:9" x14ac:dyDescent="0.25">
      <c r="A59" s="237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240" t="s">
        <v>33</v>
      </c>
      <c r="B60" s="127"/>
      <c r="C60" s="371"/>
      <c r="D60" s="371"/>
      <c r="E60" s="371"/>
      <c r="F60" s="371"/>
      <c r="G60" s="371"/>
      <c r="H60" s="371"/>
      <c r="I60" s="372"/>
    </row>
    <row r="61" spans="1:9" x14ac:dyDescent="0.25">
      <c r="A61" s="237"/>
      <c r="B61" s="18"/>
      <c r="C61" s="373"/>
      <c r="D61" s="373"/>
      <c r="E61" s="373"/>
      <c r="F61" s="373"/>
      <c r="G61" s="373"/>
      <c r="H61" s="373"/>
      <c r="I61" s="374"/>
    </row>
    <row r="62" spans="1:9" x14ac:dyDescent="0.25">
      <c r="A62" s="237"/>
      <c r="B62" s="18"/>
      <c r="C62" s="373"/>
      <c r="D62" s="373"/>
      <c r="E62" s="373"/>
      <c r="F62" s="373"/>
      <c r="G62" s="373"/>
      <c r="H62" s="373"/>
      <c r="I62" s="374"/>
    </row>
    <row r="63" spans="1:9" x14ac:dyDescent="0.25">
      <c r="A63" s="237"/>
      <c r="B63" s="18"/>
      <c r="C63" s="373"/>
      <c r="D63" s="373"/>
      <c r="E63" s="373"/>
      <c r="F63" s="373"/>
      <c r="G63" s="373"/>
      <c r="H63" s="373"/>
      <c r="I63" s="374"/>
    </row>
    <row r="64" spans="1:9" x14ac:dyDescent="0.25">
      <c r="A64" s="237"/>
      <c r="B64" s="18"/>
      <c r="C64" s="373"/>
      <c r="D64" s="373"/>
      <c r="E64" s="373"/>
      <c r="F64" s="373"/>
      <c r="G64" s="373"/>
      <c r="H64" s="373"/>
      <c r="I64" s="374"/>
    </row>
    <row r="65" spans="1:9" x14ac:dyDescent="0.25">
      <c r="A65" s="241"/>
      <c r="B65" s="45"/>
      <c r="C65" s="375"/>
      <c r="D65" s="375"/>
      <c r="E65" s="375"/>
      <c r="F65" s="375"/>
      <c r="G65" s="375"/>
      <c r="H65" s="375"/>
      <c r="I65" s="376"/>
    </row>
    <row r="66" spans="1:9" x14ac:dyDescent="0.25">
      <c r="A66" s="242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243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244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244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244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244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244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244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>
      <c r="A74" s="245"/>
    </row>
  </sheetData>
  <sheetProtection selectLockedCells="1" selectUnlockedCells="1"/>
  <dataConsolidate/>
  <mergeCells count="16">
    <mergeCell ref="A1:G1"/>
    <mergeCell ref="A2:B2"/>
    <mergeCell ref="E2:F2"/>
    <mergeCell ref="H2:I2"/>
    <mergeCell ref="A3:B3"/>
    <mergeCell ref="E3:F3"/>
    <mergeCell ref="H3:I3"/>
    <mergeCell ref="H54:H55"/>
    <mergeCell ref="H56:H57"/>
    <mergeCell ref="C60:I65"/>
    <mergeCell ref="E4:F4"/>
    <mergeCell ref="A5:B5"/>
    <mergeCell ref="A6:B6"/>
    <mergeCell ref="C6:H6"/>
    <mergeCell ref="C27:H27"/>
    <mergeCell ref="C46:H46"/>
  </mergeCells>
  <conditionalFormatting sqref="C52:G52">
    <cfRule type="expression" dxfId="1828" priority="70">
      <formula>$F52="réalisé"</formula>
    </cfRule>
  </conditionalFormatting>
  <conditionalFormatting sqref="C48:C51 E48:H51 E29:H45 C8:H26">
    <cfRule type="expression" dxfId="1827" priority="67">
      <formula>$G8="réalisé"</formula>
    </cfRule>
    <cfRule type="expression" dxfId="1826" priority="68">
      <formula>$G8="en cours"</formula>
    </cfRule>
    <cfRule type="expression" dxfId="1825" priority="69">
      <formula>$G8="non compris"</formula>
    </cfRule>
  </conditionalFormatting>
  <conditionalFormatting sqref="C29:C45">
    <cfRule type="expression" dxfId="1824" priority="64">
      <formula>$G29="réalisé"</formula>
    </cfRule>
    <cfRule type="expression" dxfId="1823" priority="65">
      <formula>$G29="en cours"</formula>
    </cfRule>
    <cfRule type="expression" dxfId="1822" priority="66">
      <formula>$G29="non compris"</formula>
    </cfRule>
  </conditionalFormatting>
  <conditionalFormatting sqref="C55:F58">
    <cfRule type="expression" dxfId="1821" priority="63">
      <formula>$F55="réalisé"</formula>
    </cfRule>
  </conditionalFormatting>
  <conditionalFormatting sqref="G9">
    <cfRule type="expression" dxfId="1820" priority="62">
      <formula>$G$10="réalisé"</formula>
    </cfRule>
  </conditionalFormatting>
  <conditionalFormatting sqref="G10:G14">
    <cfRule type="expression" dxfId="1819" priority="61">
      <formula>$G$15="réalisé"</formula>
    </cfRule>
  </conditionalFormatting>
  <conditionalFormatting sqref="G20:G21">
    <cfRule type="expression" dxfId="1818" priority="60">
      <formula>$G$22="réalisé"</formula>
    </cfRule>
  </conditionalFormatting>
  <conditionalFormatting sqref="G30">
    <cfRule type="expression" dxfId="1817" priority="59">
      <formula>$G$31="réalisé"</formula>
    </cfRule>
  </conditionalFormatting>
  <conditionalFormatting sqref="D29">
    <cfRule type="expression" dxfId="1816" priority="56">
      <formula>$G29="réalisé"</formula>
    </cfRule>
    <cfRule type="expression" dxfId="1815" priority="57">
      <formula>$G29="en cours"</formula>
    </cfRule>
    <cfRule type="expression" dxfId="1814" priority="58">
      <formula>$G29="non compris"</formula>
    </cfRule>
  </conditionalFormatting>
  <conditionalFormatting sqref="D31">
    <cfRule type="expression" dxfId="1813" priority="53">
      <formula>$G31="réalisé"</formula>
    </cfRule>
    <cfRule type="expression" dxfId="1812" priority="54">
      <formula>$G31="en cours"</formula>
    </cfRule>
    <cfRule type="expression" dxfId="1811" priority="55">
      <formula>$G31="non compris"</formula>
    </cfRule>
  </conditionalFormatting>
  <conditionalFormatting sqref="D33">
    <cfRule type="expression" dxfId="1810" priority="50">
      <formula>$G33="réalisé"</formula>
    </cfRule>
    <cfRule type="expression" dxfId="1809" priority="51">
      <formula>$G33="en cours"</formula>
    </cfRule>
    <cfRule type="expression" dxfId="1808" priority="52">
      <formula>$G33="non compris"</formula>
    </cfRule>
  </conditionalFormatting>
  <conditionalFormatting sqref="D35">
    <cfRule type="expression" dxfId="1807" priority="47">
      <formula>$G35="réalisé"</formula>
    </cfRule>
    <cfRule type="expression" dxfId="1806" priority="48">
      <formula>$G35="en cours"</formula>
    </cfRule>
    <cfRule type="expression" dxfId="1805" priority="49">
      <formula>$G35="non compris"</formula>
    </cfRule>
  </conditionalFormatting>
  <conditionalFormatting sqref="D37">
    <cfRule type="expression" dxfId="1804" priority="44">
      <formula>$G37="réalisé"</formula>
    </cfRule>
    <cfRule type="expression" dxfId="1803" priority="45">
      <formula>$G37="en cours"</formula>
    </cfRule>
    <cfRule type="expression" dxfId="1802" priority="46">
      <formula>$G37="non compris"</formula>
    </cfRule>
  </conditionalFormatting>
  <conditionalFormatting sqref="D39">
    <cfRule type="expression" dxfId="1801" priority="41">
      <formula>$G39="réalisé"</formula>
    </cfRule>
    <cfRule type="expression" dxfId="1800" priority="42">
      <formula>$G39="en cours"</formula>
    </cfRule>
    <cfRule type="expression" dxfId="1799" priority="43">
      <formula>$G39="non compris"</formula>
    </cfRule>
  </conditionalFormatting>
  <conditionalFormatting sqref="D41">
    <cfRule type="expression" dxfId="1798" priority="38">
      <formula>$G41="réalisé"</formula>
    </cfRule>
    <cfRule type="expression" dxfId="1797" priority="39">
      <formula>$G41="en cours"</formula>
    </cfRule>
    <cfRule type="expression" dxfId="1796" priority="40">
      <formula>$G41="non compris"</formula>
    </cfRule>
  </conditionalFormatting>
  <conditionalFormatting sqref="D44:D45">
    <cfRule type="expression" dxfId="1795" priority="35">
      <formula>$G44="réalisé"</formula>
    </cfRule>
    <cfRule type="expression" dxfId="1794" priority="36">
      <formula>$G44="en cours"</formula>
    </cfRule>
    <cfRule type="expression" dxfId="1793" priority="37">
      <formula>$G44="non compris"</formula>
    </cfRule>
  </conditionalFormatting>
  <conditionalFormatting sqref="D30">
    <cfRule type="expression" dxfId="1792" priority="32">
      <formula>$G30="réalisé"</formula>
    </cfRule>
    <cfRule type="expression" dxfId="1791" priority="33">
      <formula>$G30="en cours"</formula>
    </cfRule>
    <cfRule type="expression" dxfId="1790" priority="34">
      <formula>$G30="non compris"</formula>
    </cfRule>
  </conditionalFormatting>
  <conditionalFormatting sqref="D32">
    <cfRule type="expression" dxfId="1789" priority="29">
      <formula>$G32="réalisé"</formula>
    </cfRule>
    <cfRule type="expression" dxfId="1788" priority="30">
      <formula>$G32="en cours"</formula>
    </cfRule>
    <cfRule type="expression" dxfId="1787" priority="31">
      <formula>$G32="non compris"</formula>
    </cfRule>
  </conditionalFormatting>
  <conditionalFormatting sqref="D34">
    <cfRule type="expression" dxfId="1786" priority="26">
      <formula>$G34="réalisé"</formula>
    </cfRule>
    <cfRule type="expression" dxfId="1785" priority="27">
      <formula>$G34="en cours"</formula>
    </cfRule>
    <cfRule type="expression" dxfId="1784" priority="28">
      <formula>$G34="non compris"</formula>
    </cfRule>
  </conditionalFormatting>
  <conditionalFormatting sqref="D36">
    <cfRule type="expression" dxfId="1783" priority="23">
      <formula>$G36="réalisé"</formula>
    </cfRule>
    <cfRule type="expression" dxfId="1782" priority="24">
      <formula>$G36="en cours"</formula>
    </cfRule>
    <cfRule type="expression" dxfId="1781" priority="25">
      <formula>$G36="non compris"</formula>
    </cfRule>
  </conditionalFormatting>
  <conditionalFormatting sqref="D38">
    <cfRule type="expression" dxfId="1780" priority="20">
      <formula>$G38="réalisé"</formula>
    </cfRule>
    <cfRule type="expression" dxfId="1779" priority="21">
      <formula>$G38="en cours"</formula>
    </cfRule>
    <cfRule type="expression" dxfId="1778" priority="22">
      <formula>$G38="non compris"</formula>
    </cfRule>
  </conditionalFormatting>
  <conditionalFormatting sqref="D40">
    <cfRule type="expression" dxfId="1777" priority="17">
      <formula>$G40="réalisé"</formula>
    </cfRule>
    <cfRule type="expression" dxfId="1776" priority="18">
      <formula>$G40="en cours"</formula>
    </cfRule>
    <cfRule type="expression" dxfId="1775" priority="19">
      <formula>$G40="non compris"</formula>
    </cfRule>
  </conditionalFormatting>
  <conditionalFormatting sqref="D42:D43">
    <cfRule type="expression" dxfId="1774" priority="14">
      <formula>$G42="réalisé"</formula>
    </cfRule>
    <cfRule type="expression" dxfId="1773" priority="15">
      <formula>$G42="en cours"</formula>
    </cfRule>
    <cfRule type="expression" dxfId="1772" priority="16">
      <formula>$G42="non compris"</formula>
    </cfRule>
  </conditionalFormatting>
  <conditionalFormatting sqref="D50">
    <cfRule type="expression" dxfId="1771" priority="11">
      <formula>$G50="réalisé"</formula>
    </cfRule>
    <cfRule type="expression" dxfId="1770" priority="12">
      <formula>$G50="en cours"</formula>
    </cfRule>
    <cfRule type="expression" dxfId="1769" priority="13">
      <formula>$G50="non compris"</formula>
    </cfRule>
  </conditionalFormatting>
  <conditionalFormatting sqref="D49">
    <cfRule type="expression" dxfId="1768" priority="8">
      <formula>$G49="réalisé"</formula>
    </cfRule>
    <cfRule type="expression" dxfId="1767" priority="9">
      <formula>$G49="en cours"</formula>
    </cfRule>
    <cfRule type="expression" dxfId="1766" priority="10">
      <formula>$G49="non compris"</formula>
    </cfRule>
  </conditionalFormatting>
  <conditionalFormatting sqref="D48">
    <cfRule type="expression" dxfId="1765" priority="5">
      <formula>$G48="réalisé"</formula>
    </cfRule>
    <cfRule type="expression" dxfId="1764" priority="6">
      <formula>$G48="en cours"</formula>
    </cfRule>
    <cfRule type="expression" dxfId="1763" priority="7">
      <formula>$G48="non compris"</formula>
    </cfRule>
  </conditionalFormatting>
  <conditionalFormatting sqref="D51">
    <cfRule type="expression" dxfId="1762" priority="2">
      <formula>$G51="réalisé"</formula>
    </cfRule>
    <cfRule type="expression" dxfId="1761" priority="3">
      <formula>$G51="en cours"</formula>
    </cfRule>
    <cfRule type="expression" dxfId="1760" priority="4">
      <formula>$G51="non compris"</formula>
    </cfRule>
  </conditionalFormatting>
  <conditionalFormatting sqref="D8:D26">
    <cfRule type="expression" dxfId="1759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80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tabColor rgb="FF00B050"/>
    <pageSetUpPr fitToPage="1"/>
  </sheetPr>
  <dimension ref="A1:I74"/>
  <sheetViews>
    <sheetView topLeftCell="A22" zoomScaleNormal="100" workbookViewId="0">
      <selection activeCell="E25" sqref="E25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7" t="s">
        <v>0</v>
      </c>
      <c r="B1" s="378"/>
      <c r="C1" s="378"/>
      <c r="D1" s="378"/>
      <c r="E1" s="378"/>
      <c r="F1" s="378"/>
      <c r="G1" s="378"/>
      <c r="H1" s="1" t="s">
        <v>1</v>
      </c>
      <c r="I1" s="3">
        <f ca="1">INT(MOD(INT((LISTE!D1-2)/7)+0.6,52+5/28))+1</f>
        <v>41</v>
      </c>
    </row>
    <row r="2" spans="1:9" x14ac:dyDescent="0.25">
      <c r="A2" s="390" t="s">
        <v>2</v>
      </c>
      <c r="B2" s="391"/>
      <c r="C2" s="70" t="str">
        <f ca="1">MID(CELL("nomfichier",A1),FIND("]",CELL("nomfichier",A1),1)+1,30)</f>
        <v>MICHEL-SCHWARTZ</v>
      </c>
      <c r="D2" s="4" t="s">
        <v>72</v>
      </c>
      <c r="E2" s="379">
        <v>43056</v>
      </c>
      <c r="F2" s="379"/>
      <c r="G2" s="5"/>
      <c r="H2" s="380" t="s">
        <v>143</v>
      </c>
      <c r="I2" s="381"/>
    </row>
    <row r="3" spans="1:9" ht="15.75" x14ac:dyDescent="0.25">
      <c r="A3" s="392" t="s">
        <v>106</v>
      </c>
      <c r="B3" s="384"/>
      <c r="C3" s="6" t="s">
        <v>159</v>
      </c>
      <c r="D3" s="7" t="s">
        <v>3</v>
      </c>
      <c r="E3" s="382">
        <v>43172</v>
      </c>
      <c r="F3" s="383"/>
      <c r="G3" s="8"/>
      <c r="H3" s="384" t="str">
        <f ca="1">DATEDIF(E3,TODAY(),"m")&amp;"mois"&amp;-DATEDIF(E3,TODAY(),"md")&amp;"jours"</f>
        <v>6mois-29jours</v>
      </c>
      <c r="I3" s="385"/>
    </row>
    <row r="4" spans="1:9" ht="18.75" x14ac:dyDescent="0.25">
      <c r="A4" s="69" t="s">
        <v>117</v>
      </c>
      <c r="B4" s="129"/>
      <c r="C4" s="9"/>
      <c r="D4" s="10" t="s">
        <v>4</v>
      </c>
      <c r="E4" s="386">
        <f>E3+60</f>
        <v>43232</v>
      </c>
      <c r="F4" s="386"/>
      <c r="G4" s="11"/>
      <c r="H4" s="12"/>
      <c r="I4" s="13"/>
    </row>
    <row r="5" spans="1:9" x14ac:dyDescent="0.25">
      <c r="A5" s="393" t="s">
        <v>76</v>
      </c>
      <c r="B5" s="394"/>
      <c r="C5" s="15"/>
      <c r="D5" s="16"/>
      <c r="E5" s="15"/>
      <c r="F5" s="15"/>
      <c r="G5" s="17"/>
      <c r="H5" s="18"/>
      <c r="I5" s="19"/>
    </row>
    <row r="6" spans="1:9" ht="18.75" x14ac:dyDescent="0.3">
      <c r="A6" s="395" t="s">
        <v>75</v>
      </c>
      <c r="B6" s="396"/>
      <c r="C6" s="387" t="s">
        <v>145</v>
      </c>
      <c r="D6" s="388"/>
      <c r="E6" s="388"/>
      <c r="F6" s="388"/>
      <c r="G6" s="388"/>
      <c r="H6" s="389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22"/>
      <c r="B8" s="200"/>
      <c r="C8" s="28" t="s">
        <v>124</v>
      </c>
      <c r="D8" s="52" t="s">
        <v>38</v>
      </c>
      <c r="E8" s="180">
        <v>12</v>
      </c>
      <c r="F8" s="25"/>
      <c r="G8" s="26" t="s">
        <v>36</v>
      </c>
      <c r="H8" s="27"/>
      <c r="I8" s="19"/>
    </row>
    <row r="9" spans="1:9" x14ac:dyDescent="0.25">
      <c r="A9" s="122"/>
      <c r="B9" s="130"/>
      <c r="C9" s="28" t="s">
        <v>131</v>
      </c>
      <c r="D9" s="53" t="str">
        <f>D8</f>
        <v>TEMA</v>
      </c>
      <c r="E9" s="181">
        <v>12</v>
      </c>
      <c r="F9" s="29"/>
      <c r="G9" s="30" t="s">
        <v>36</v>
      </c>
      <c r="H9" s="27"/>
      <c r="I9" s="19"/>
    </row>
    <row r="10" spans="1:9" ht="15" customHeight="1" x14ac:dyDescent="0.25">
      <c r="A10" s="131"/>
      <c r="B10" s="182"/>
      <c r="C10" s="28" t="s">
        <v>132</v>
      </c>
      <c r="D10" s="52" t="str">
        <f>D9</f>
        <v>TEMA</v>
      </c>
      <c r="E10" s="180">
        <f>E9</f>
        <v>12</v>
      </c>
      <c r="F10" s="31"/>
      <c r="G10" s="30" t="s">
        <v>36</v>
      </c>
      <c r="H10" s="27"/>
      <c r="I10" s="19"/>
    </row>
    <row r="11" spans="1:9" ht="15" customHeight="1" x14ac:dyDescent="0.25">
      <c r="A11" s="131"/>
      <c r="B11" s="132"/>
      <c r="C11" s="28" t="s">
        <v>133</v>
      </c>
      <c r="D11" s="54" t="str">
        <f>D8</f>
        <v>TEMA</v>
      </c>
      <c r="E11" s="180">
        <f>E10+1</f>
        <v>13</v>
      </c>
      <c r="F11" s="31"/>
      <c r="G11" s="30" t="s">
        <v>36</v>
      </c>
      <c r="H11" s="27"/>
      <c r="I11" s="19"/>
    </row>
    <row r="12" spans="1:9" ht="15" customHeight="1" x14ac:dyDescent="0.25">
      <c r="A12" s="144">
        <v>15937.21</v>
      </c>
      <c r="B12" s="143">
        <f>A12-7968.6-5312.41-2656.2</f>
        <v>0</v>
      </c>
      <c r="C12" s="28" t="s">
        <v>134</v>
      </c>
      <c r="D12" s="54" t="str">
        <f t="shared" ref="D12:D14" si="0">D9</f>
        <v>TEMA</v>
      </c>
      <c r="E12" s="180">
        <f>E11+2</f>
        <v>15</v>
      </c>
      <c r="F12" s="31"/>
      <c r="G12" s="30" t="s">
        <v>36</v>
      </c>
      <c r="H12" s="27"/>
      <c r="I12" s="19"/>
    </row>
    <row r="13" spans="1:9" ht="15" customHeight="1" x14ac:dyDescent="0.25">
      <c r="A13" s="131"/>
      <c r="B13" s="132"/>
      <c r="C13" s="28" t="s">
        <v>135</v>
      </c>
      <c r="D13" s="54" t="str">
        <f t="shared" si="0"/>
        <v>TEMA</v>
      </c>
      <c r="E13" s="180">
        <f>E12+1</f>
        <v>16</v>
      </c>
      <c r="F13" s="31"/>
      <c r="G13" s="30" t="s">
        <v>36</v>
      </c>
      <c r="H13" s="27"/>
      <c r="I13" s="19"/>
    </row>
    <row r="14" spans="1:9" ht="15" customHeight="1" x14ac:dyDescent="0.25">
      <c r="A14" s="131"/>
      <c r="B14" s="132"/>
      <c r="C14" s="28" t="s">
        <v>136</v>
      </c>
      <c r="D14" s="54" t="str">
        <f t="shared" si="0"/>
        <v>TEMA</v>
      </c>
      <c r="E14" s="180">
        <f>E13</f>
        <v>16</v>
      </c>
      <c r="F14" s="31"/>
      <c r="G14" s="30" t="s">
        <v>36</v>
      </c>
      <c r="H14" s="27"/>
      <c r="I14" s="19"/>
    </row>
    <row r="15" spans="1:9" x14ac:dyDescent="0.25">
      <c r="A15" s="131"/>
      <c r="B15" s="132"/>
      <c r="C15" s="28" t="s">
        <v>62</v>
      </c>
      <c r="D15" s="53" t="s">
        <v>64</v>
      </c>
      <c r="E15" s="24">
        <f>E10+4</f>
        <v>16</v>
      </c>
      <c r="F15" s="29"/>
      <c r="G15" s="30" t="s">
        <v>70</v>
      </c>
      <c r="H15" s="27"/>
      <c r="I15" s="19"/>
    </row>
    <row r="16" spans="1:9" x14ac:dyDescent="0.25">
      <c r="A16" s="131"/>
      <c r="B16" s="132"/>
      <c r="C16" s="28" t="s">
        <v>10</v>
      </c>
      <c r="D16" s="52" t="s">
        <v>64</v>
      </c>
      <c r="E16" s="24">
        <f>E10+1</f>
        <v>13</v>
      </c>
      <c r="F16" s="29"/>
      <c r="G16" s="30" t="s">
        <v>70</v>
      </c>
      <c r="H16" s="27"/>
      <c r="I16" s="19"/>
    </row>
    <row r="17" spans="1:9" x14ac:dyDescent="0.25">
      <c r="A17" s="131"/>
      <c r="B17" s="132"/>
      <c r="C17" s="28" t="s">
        <v>11</v>
      </c>
      <c r="D17" s="53" t="s">
        <v>38</v>
      </c>
      <c r="E17" s="24">
        <f>E16+1</f>
        <v>14</v>
      </c>
      <c r="F17" s="29"/>
      <c r="G17" s="30" t="s">
        <v>36</v>
      </c>
      <c r="H17" s="27"/>
      <c r="I17" s="19"/>
    </row>
    <row r="18" spans="1:9" x14ac:dyDescent="0.25">
      <c r="A18" s="143"/>
      <c r="B18" s="143">
        <f>A18</f>
        <v>0</v>
      </c>
      <c r="C18" s="55" t="s">
        <v>12</v>
      </c>
      <c r="D18" s="60" t="s">
        <v>68</v>
      </c>
      <c r="E18" s="204">
        <f>IF(E13="","",MOD(E17+1,52))</f>
        <v>15</v>
      </c>
      <c r="F18" s="57"/>
      <c r="G18" s="58" t="s">
        <v>9</v>
      </c>
      <c r="H18" s="59"/>
      <c r="I18" s="19"/>
    </row>
    <row r="19" spans="1:9" x14ac:dyDescent="0.25">
      <c r="A19" s="131"/>
      <c r="B19" s="132"/>
      <c r="C19" s="55" t="s">
        <v>73</v>
      </c>
      <c r="D19" s="56" t="s">
        <v>68</v>
      </c>
      <c r="E19" s="61">
        <f>IF(E18="","",MOD(E18+1,52))</f>
        <v>16</v>
      </c>
      <c r="F19" s="57"/>
      <c r="G19" s="58" t="s">
        <v>9</v>
      </c>
      <c r="H19" s="59"/>
      <c r="I19" s="19"/>
    </row>
    <row r="20" spans="1:9" x14ac:dyDescent="0.25">
      <c r="A20" s="142"/>
      <c r="B20" s="143">
        <f>A20</f>
        <v>0</v>
      </c>
      <c r="C20" s="55" t="s">
        <v>59</v>
      </c>
      <c r="D20" s="60" t="s">
        <v>68</v>
      </c>
      <c r="E20" s="61">
        <f>IF(E19="","",MOD(E19+1,52))</f>
        <v>17</v>
      </c>
      <c r="F20" s="57"/>
      <c r="G20" s="58" t="s">
        <v>9</v>
      </c>
      <c r="H20" s="59"/>
      <c r="I20" s="19"/>
    </row>
    <row r="21" spans="1:9" x14ac:dyDescent="0.25">
      <c r="A21" s="142"/>
      <c r="B21" s="257">
        <f>A21</f>
        <v>0</v>
      </c>
      <c r="C21" s="28" t="s">
        <v>60</v>
      </c>
      <c r="D21" s="54" t="s">
        <v>44</v>
      </c>
      <c r="E21" s="24">
        <v>23</v>
      </c>
      <c r="F21" s="29"/>
      <c r="G21" s="30" t="s">
        <v>36</v>
      </c>
      <c r="H21" s="50"/>
      <c r="I21" s="19"/>
    </row>
    <row r="22" spans="1:9" x14ac:dyDescent="0.25">
      <c r="A22" s="131"/>
      <c r="B22" s="258"/>
      <c r="C22" s="167" t="s">
        <v>13</v>
      </c>
      <c r="D22" s="168" t="s">
        <v>44</v>
      </c>
      <c r="E22" s="169">
        <f>E21</f>
        <v>23</v>
      </c>
      <c r="F22" s="170"/>
      <c r="G22" s="171" t="s">
        <v>36</v>
      </c>
      <c r="H22" s="172"/>
      <c r="I22" s="19"/>
    </row>
    <row r="23" spans="1:9" x14ac:dyDescent="0.25">
      <c r="A23" s="144">
        <f>2054.68-271.54</f>
        <v>1783.1399999999999</v>
      </c>
      <c r="B23" s="257">
        <f>A23-2054.68+271.54</f>
        <v>0</v>
      </c>
      <c r="C23" s="32" t="s">
        <v>138</v>
      </c>
      <c r="D23" s="52" t="s">
        <v>45</v>
      </c>
      <c r="E23" s="24">
        <v>22</v>
      </c>
      <c r="F23" s="29"/>
      <c r="G23" s="30" t="s">
        <v>36</v>
      </c>
      <c r="H23" s="27"/>
      <c r="I23" s="19"/>
    </row>
    <row r="24" spans="1:9" x14ac:dyDescent="0.25">
      <c r="A24" s="131"/>
      <c r="B24" s="258"/>
      <c r="C24" s="28" t="s">
        <v>14</v>
      </c>
      <c r="D24" s="53" t="str">
        <f>D17</f>
        <v>TEMA</v>
      </c>
      <c r="E24" s="24">
        <v>23</v>
      </c>
      <c r="F24" s="29"/>
      <c r="G24" s="30" t="s">
        <v>36</v>
      </c>
      <c r="H24" s="27"/>
      <c r="I24" s="19"/>
    </row>
    <row r="25" spans="1:9" x14ac:dyDescent="0.25">
      <c r="A25" s="143"/>
      <c r="B25" s="257">
        <f>A25</f>
        <v>0</v>
      </c>
      <c r="C25" s="183" t="s">
        <v>137</v>
      </c>
      <c r="D25" s="53" t="s">
        <v>56</v>
      </c>
      <c r="E25" s="24">
        <v>26</v>
      </c>
      <c r="F25" s="29"/>
      <c r="G25" s="72" t="s">
        <v>36</v>
      </c>
      <c r="H25" s="27"/>
      <c r="I25" s="19"/>
    </row>
    <row r="26" spans="1:9" x14ac:dyDescent="0.25">
      <c r="A26" s="131"/>
      <c r="B26" s="132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145"/>
      <c r="B27" s="146"/>
      <c r="C27" s="387" t="s">
        <v>144</v>
      </c>
      <c r="D27" s="388"/>
      <c r="E27" s="388"/>
      <c r="F27" s="388"/>
      <c r="G27" s="388"/>
      <c r="H27" s="389"/>
      <c r="I27" s="19"/>
    </row>
    <row r="28" spans="1:9" ht="15.75" thickBot="1" x14ac:dyDescent="0.3">
      <c r="A28" s="131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257"/>
      <c r="B29" s="143">
        <f>A29</f>
        <v>0</v>
      </c>
      <c r="C29" s="78" t="s">
        <v>66</v>
      </c>
      <c r="D29" s="52" t="s">
        <v>90</v>
      </c>
      <c r="E29" s="79">
        <v>27</v>
      </c>
      <c r="F29" s="25"/>
      <c r="G29" s="26" t="s">
        <v>36</v>
      </c>
      <c r="H29" s="27"/>
      <c r="I29" s="19"/>
    </row>
    <row r="30" spans="1:9" x14ac:dyDescent="0.25">
      <c r="A30" s="143"/>
      <c r="B30" s="143">
        <f>A30</f>
        <v>0</v>
      </c>
      <c r="C30" s="28" t="s">
        <v>67</v>
      </c>
      <c r="D30" s="53" t="s">
        <v>47</v>
      </c>
      <c r="E30" s="24">
        <v>27</v>
      </c>
      <c r="F30" s="29"/>
      <c r="G30" s="30" t="s">
        <v>36</v>
      </c>
      <c r="H30" s="27"/>
      <c r="I30" s="19"/>
    </row>
    <row r="31" spans="1:9" x14ac:dyDescent="0.25">
      <c r="A31" s="131"/>
      <c r="B31" s="132"/>
      <c r="C31" s="62" t="s">
        <v>16</v>
      </c>
      <c r="D31" s="52" t="str">
        <f>D29</f>
        <v>ELECTRO HECKER</v>
      </c>
      <c r="E31" s="24">
        <v>31</v>
      </c>
      <c r="F31" s="29"/>
      <c r="G31" s="30" t="s">
        <v>36</v>
      </c>
      <c r="H31" s="27"/>
      <c r="I31" s="19"/>
    </row>
    <row r="32" spans="1:9" x14ac:dyDescent="0.25">
      <c r="A32" s="144">
        <v>831.34</v>
      </c>
      <c r="B32" s="143">
        <f>A32-831.34</f>
        <v>0</v>
      </c>
      <c r="C32" s="80" t="s">
        <v>17</v>
      </c>
      <c r="D32" s="53" t="s">
        <v>51</v>
      </c>
      <c r="E32" s="24">
        <v>31</v>
      </c>
      <c r="F32" s="29"/>
      <c r="G32" s="30" t="s">
        <v>36</v>
      </c>
      <c r="H32" s="27"/>
      <c r="I32" s="19"/>
    </row>
    <row r="33" spans="1:9" x14ac:dyDescent="0.25">
      <c r="A33" s="143"/>
      <c r="B33" s="143"/>
      <c r="C33" s="62" t="s">
        <v>140</v>
      </c>
      <c r="D33" s="52" t="s">
        <v>51</v>
      </c>
      <c r="E33" s="24">
        <f>IF(E32="","",MOD(E32+1,52))</f>
        <v>32</v>
      </c>
      <c r="F33" s="29"/>
      <c r="G33" s="30" t="s">
        <v>36</v>
      </c>
      <c r="H33" s="27"/>
      <c r="I33" s="19"/>
    </row>
    <row r="34" spans="1:9" x14ac:dyDescent="0.25">
      <c r="A34" s="144">
        <v>1074.23</v>
      </c>
      <c r="B34" s="143">
        <f>A34</f>
        <v>1074.23</v>
      </c>
      <c r="C34" s="28" t="s">
        <v>141</v>
      </c>
      <c r="D34" s="53" t="s">
        <v>51</v>
      </c>
      <c r="E34" s="24">
        <v>34</v>
      </c>
      <c r="F34" s="29"/>
      <c r="G34" s="30" t="s">
        <v>36</v>
      </c>
      <c r="H34" s="27"/>
      <c r="I34" s="19"/>
    </row>
    <row r="35" spans="1:9" x14ac:dyDescent="0.25">
      <c r="A35" s="267"/>
      <c r="B35" s="132"/>
      <c r="C35" s="80" t="s">
        <v>160</v>
      </c>
      <c r="D35" s="103" t="s">
        <v>58</v>
      </c>
      <c r="E35" s="156">
        <v>45</v>
      </c>
      <c r="F35" s="105"/>
      <c r="G35" s="106"/>
      <c r="H35" s="27"/>
      <c r="I35" s="19"/>
    </row>
    <row r="36" spans="1:9" x14ac:dyDescent="0.25">
      <c r="A36" s="257"/>
      <c r="B36" s="143">
        <f>A36</f>
        <v>0</v>
      </c>
      <c r="C36" s="28" t="s">
        <v>19</v>
      </c>
      <c r="D36" s="53" t="s">
        <v>52</v>
      </c>
      <c r="E36" s="24">
        <v>36</v>
      </c>
      <c r="F36" s="29"/>
      <c r="G36" s="30" t="s">
        <v>36</v>
      </c>
      <c r="H36" s="27"/>
      <c r="I36" s="19"/>
    </row>
    <row r="37" spans="1:9" x14ac:dyDescent="0.25">
      <c r="A37" s="131"/>
      <c r="B37" s="132"/>
      <c r="C37" s="28" t="s">
        <v>20</v>
      </c>
      <c r="D37" s="52" t="str">
        <f>D30</f>
        <v>SOARES</v>
      </c>
      <c r="E37" s="24">
        <f>IF(E36="","",MOD(E36+1,52))</f>
        <v>37</v>
      </c>
      <c r="F37" s="29"/>
      <c r="G37" s="30" t="s">
        <v>36</v>
      </c>
      <c r="H37" s="27"/>
      <c r="I37" s="19"/>
    </row>
    <row r="38" spans="1:9" x14ac:dyDescent="0.25">
      <c r="A38" s="131"/>
      <c r="B38" s="132"/>
      <c r="C38" s="28" t="s">
        <v>21</v>
      </c>
      <c r="D38" s="53" t="str">
        <f>D29</f>
        <v>ELECTRO HECKER</v>
      </c>
      <c r="E38" s="24">
        <f>IF(E37="","",MOD(E37+1,52))</f>
        <v>38</v>
      </c>
      <c r="F38" s="29"/>
      <c r="G38" s="30" t="s">
        <v>36</v>
      </c>
      <c r="H38" s="27"/>
      <c r="I38" s="19"/>
    </row>
    <row r="39" spans="1:9" x14ac:dyDescent="0.25">
      <c r="A39" s="131"/>
      <c r="B39" s="132"/>
      <c r="C39" s="28" t="s">
        <v>22</v>
      </c>
      <c r="D39" s="52" t="str">
        <f>D32</f>
        <v>EKOTHERM</v>
      </c>
      <c r="E39" s="24">
        <f>IF(E37="","",MOD(E37+1,52))</f>
        <v>38</v>
      </c>
      <c r="F39" s="29"/>
      <c r="G39" s="30"/>
      <c r="H39" s="27"/>
      <c r="I39" s="19"/>
    </row>
    <row r="40" spans="1:9" x14ac:dyDescent="0.25">
      <c r="A40" s="131"/>
      <c r="B40" s="132"/>
      <c r="C40" s="28" t="s">
        <v>23</v>
      </c>
      <c r="D40" s="53" t="s">
        <v>64</v>
      </c>
      <c r="E40" s="24">
        <f>E36+4</f>
        <v>40</v>
      </c>
      <c r="F40" s="29"/>
      <c r="G40" s="30" t="s">
        <v>70</v>
      </c>
      <c r="H40" s="27"/>
      <c r="I40" s="19"/>
    </row>
    <row r="41" spans="1:9" x14ac:dyDescent="0.25">
      <c r="A41" s="131"/>
      <c r="B41" s="132"/>
      <c r="C41" s="28" t="s">
        <v>24</v>
      </c>
      <c r="D41" s="52" t="s">
        <v>64</v>
      </c>
      <c r="E41" s="24">
        <f>E39+1</f>
        <v>39</v>
      </c>
      <c r="F41" s="29"/>
      <c r="G41" s="30" t="s">
        <v>70</v>
      </c>
      <c r="H41" s="27"/>
      <c r="I41" s="19"/>
    </row>
    <row r="42" spans="1:9" x14ac:dyDescent="0.25">
      <c r="A42" s="131"/>
      <c r="B42" s="132"/>
      <c r="C42" s="28" t="s">
        <v>25</v>
      </c>
      <c r="D42" s="53" t="str">
        <f>D34</f>
        <v>EKOTHERM</v>
      </c>
      <c r="E42" s="24">
        <f>IF(E40="","",MOD(E40+2,52))</f>
        <v>42</v>
      </c>
      <c r="F42" s="29"/>
      <c r="G42" s="30"/>
      <c r="H42" s="27"/>
      <c r="I42" s="19"/>
    </row>
    <row r="43" spans="1:9" x14ac:dyDescent="0.25">
      <c r="A43" s="143"/>
      <c r="B43" s="143">
        <f>A43</f>
        <v>0</v>
      </c>
      <c r="C43" s="81" t="s">
        <v>147</v>
      </c>
      <c r="D43" s="52" t="s">
        <v>64</v>
      </c>
      <c r="E43" s="82">
        <f>E44</f>
        <v>42</v>
      </c>
      <c r="F43" s="83"/>
      <c r="G43" s="72" t="s">
        <v>70</v>
      </c>
      <c r="H43" s="27"/>
      <c r="I43" s="19"/>
    </row>
    <row r="44" spans="1:9" x14ac:dyDescent="0.25">
      <c r="A44" s="257"/>
      <c r="B44" s="143">
        <f>A44</f>
        <v>0</v>
      </c>
      <c r="C44" s="81" t="s">
        <v>139</v>
      </c>
      <c r="D44" s="193" t="s">
        <v>54</v>
      </c>
      <c r="E44" s="82">
        <f>IF(E40="","",MOD(E40+2,52))</f>
        <v>42</v>
      </c>
      <c r="F44" s="83"/>
      <c r="G44" s="72"/>
      <c r="H44" s="194"/>
      <c r="I44" s="19"/>
    </row>
    <row r="45" spans="1:9" x14ac:dyDescent="0.25">
      <c r="A45" s="131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145"/>
      <c r="B46" s="146"/>
      <c r="C46" s="387" t="s">
        <v>146</v>
      </c>
      <c r="D46" s="388"/>
      <c r="E46" s="388"/>
      <c r="F46" s="388"/>
      <c r="G46" s="388"/>
      <c r="H46" s="389"/>
      <c r="I46" s="19"/>
    </row>
    <row r="47" spans="1:9" ht="15.75" thickBot="1" x14ac:dyDescent="0.3">
      <c r="A47" s="131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257"/>
      <c r="B48" s="143">
        <f>A48</f>
        <v>0</v>
      </c>
      <c r="C48" s="88" t="s">
        <v>26</v>
      </c>
      <c r="D48" s="52" t="s">
        <v>57</v>
      </c>
      <c r="E48" s="89">
        <v>42</v>
      </c>
      <c r="F48" s="25"/>
      <c r="G48" s="26"/>
      <c r="H48" s="27"/>
      <c r="I48" s="19"/>
    </row>
    <row r="49" spans="1:9" x14ac:dyDescent="0.25">
      <c r="A49" s="133"/>
      <c r="B49" s="173"/>
      <c r="C49" s="102" t="s">
        <v>69</v>
      </c>
      <c r="D49" s="103" t="s">
        <v>64</v>
      </c>
      <c r="E49" s="104">
        <f>E48</f>
        <v>42</v>
      </c>
      <c r="F49" s="105"/>
      <c r="G49" s="106" t="s">
        <v>70</v>
      </c>
      <c r="H49" s="27"/>
      <c r="I49" s="19"/>
    </row>
    <row r="50" spans="1:9" x14ac:dyDescent="0.25">
      <c r="A50" s="133"/>
      <c r="B50" s="173"/>
      <c r="C50" s="92" t="s">
        <v>61</v>
      </c>
      <c r="D50" s="99" t="s">
        <v>68</v>
      </c>
      <c r="E50" s="101">
        <f>E48+1</f>
        <v>43</v>
      </c>
      <c r="F50" s="95"/>
      <c r="G50" s="96" t="s">
        <v>9</v>
      </c>
      <c r="H50" s="97"/>
      <c r="I50" s="19"/>
    </row>
    <row r="51" spans="1:9" x14ac:dyDescent="0.25">
      <c r="A51" s="133">
        <f>SUM(A8:A50)</f>
        <v>19625.919999999998</v>
      </c>
      <c r="B51" s="133">
        <f>SUM(B8:B50)</f>
        <v>1074.23</v>
      </c>
      <c r="C51" s="91" t="s">
        <v>27</v>
      </c>
      <c r="D51" s="52" t="str">
        <f>D48</f>
        <v>TASTEPER</v>
      </c>
      <c r="E51" s="90">
        <f>E48+3</f>
        <v>45</v>
      </c>
      <c r="F51" s="29"/>
      <c r="G51" s="72"/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7" t="s">
        <v>142</v>
      </c>
      <c r="I54" s="19"/>
    </row>
    <row r="55" spans="1:9" x14ac:dyDescent="0.25">
      <c r="A55" s="42"/>
      <c r="B55" s="126"/>
      <c r="C55" s="43" t="s">
        <v>122</v>
      </c>
      <c r="D55" s="107">
        <v>43014</v>
      </c>
      <c r="E55" s="44"/>
      <c r="F55" s="45" t="s">
        <v>109</v>
      </c>
      <c r="G55" s="18"/>
      <c r="H55" s="398"/>
      <c r="I55" s="19"/>
    </row>
    <row r="56" spans="1:9" x14ac:dyDescent="0.25">
      <c r="A56" s="42"/>
      <c r="B56" s="126"/>
      <c r="C56" s="33" t="s">
        <v>123</v>
      </c>
      <c r="D56" s="49">
        <v>42753</v>
      </c>
      <c r="E56" s="46"/>
      <c r="F56" s="2" t="s">
        <v>109</v>
      </c>
      <c r="G56" s="18"/>
      <c r="H56" s="399" t="str">
        <f>DATEDIF(E3,D58,"m")&amp;"mois"&amp;DATEDIF(E3,D58,"md")&amp;"jours"</f>
        <v>7mois30jours</v>
      </c>
      <c r="I56" s="19"/>
    </row>
    <row r="57" spans="1:9" ht="15.75" thickBot="1" x14ac:dyDescent="0.3">
      <c r="A57" s="42"/>
      <c r="B57" s="126"/>
      <c r="C57" s="33" t="s">
        <v>31</v>
      </c>
      <c r="D57" s="49">
        <v>43276</v>
      </c>
      <c r="E57" s="46"/>
      <c r="F57" s="2" t="s">
        <v>109</v>
      </c>
      <c r="G57" s="18"/>
      <c r="H57" s="400"/>
      <c r="I57" s="19"/>
    </row>
    <row r="58" spans="1:9" x14ac:dyDescent="0.25">
      <c r="A58" s="42"/>
      <c r="B58" s="126"/>
      <c r="C58" s="47" t="s">
        <v>32</v>
      </c>
      <c r="D58" s="184">
        <v>43416</v>
      </c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1"/>
      <c r="D60" s="371"/>
      <c r="E60" s="371"/>
      <c r="F60" s="371"/>
      <c r="G60" s="371"/>
      <c r="H60" s="371"/>
      <c r="I60" s="372"/>
    </row>
    <row r="61" spans="1:9" x14ac:dyDescent="0.25">
      <c r="A61" s="34"/>
      <c r="B61" s="18"/>
      <c r="C61" s="373"/>
      <c r="D61" s="373"/>
      <c r="E61" s="373"/>
      <c r="F61" s="373"/>
      <c r="G61" s="373"/>
      <c r="H61" s="373"/>
      <c r="I61" s="374"/>
    </row>
    <row r="62" spans="1:9" x14ac:dyDescent="0.25">
      <c r="A62" s="34"/>
      <c r="B62" s="18"/>
      <c r="C62" s="373"/>
      <c r="D62" s="373"/>
      <c r="E62" s="373"/>
      <c r="F62" s="373"/>
      <c r="G62" s="373"/>
      <c r="H62" s="373"/>
      <c r="I62" s="374"/>
    </row>
    <row r="63" spans="1:9" x14ac:dyDescent="0.25">
      <c r="A63" s="34"/>
      <c r="B63" s="18"/>
      <c r="C63" s="373"/>
      <c r="D63" s="373"/>
      <c r="E63" s="373"/>
      <c r="F63" s="373"/>
      <c r="G63" s="373"/>
      <c r="H63" s="373"/>
      <c r="I63" s="374"/>
    </row>
    <row r="64" spans="1:9" x14ac:dyDescent="0.25">
      <c r="A64" s="34"/>
      <c r="B64" s="18"/>
      <c r="C64" s="373"/>
      <c r="D64" s="373"/>
      <c r="E64" s="373"/>
      <c r="F64" s="373"/>
      <c r="G64" s="373"/>
      <c r="H64" s="373"/>
      <c r="I64" s="374"/>
    </row>
    <row r="65" spans="1:9" x14ac:dyDescent="0.25">
      <c r="A65" s="44"/>
      <c r="B65" s="45"/>
      <c r="C65" s="375"/>
      <c r="D65" s="375"/>
      <c r="E65" s="375"/>
      <c r="F65" s="375"/>
      <c r="G65" s="375"/>
      <c r="H65" s="375"/>
      <c r="I65" s="376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A1:G1"/>
    <mergeCell ref="A2:B2"/>
    <mergeCell ref="E2:F2"/>
    <mergeCell ref="H2:I2"/>
    <mergeCell ref="A3:B3"/>
    <mergeCell ref="E3:F3"/>
    <mergeCell ref="H3:I3"/>
    <mergeCell ref="H54:H55"/>
    <mergeCell ref="H56:H57"/>
    <mergeCell ref="C60:I65"/>
    <mergeCell ref="E4:F4"/>
    <mergeCell ref="A5:B5"/>
    <mergeCell ref="A6:B6"/>
    <mergeCell ref="C6:H6"/>
    <mergeCell ref="C27:H27"/>
    <mergeCell ref="C46:H46"/>
  </mergeCells>
  <conditionalFormatting sqref="C52:G52">
    <cfRule type="expression" dxfId="1716" priority="70">
      <formula>$F52="réalisé"</formula>
    </cfRule>
  </conditionalFormatting>
  <conditionalFormatting sqref="C48:C51 E48:H51 E29:H45 C8:H26">
    <cfRule type="expression" dxfId="1715" priority="67">
      <formula>$G8="réalisé"</formula>
    </cfRule>
    <cfRule type="expression" dxfId="1714" priority="68">
      <formula>$G8="en cours"</formula>
    </cfRule>
    <cfRule type="expression" dxfId="1713" priority="69">
      <formula>$G8="non compris"</formula>
    </cfRule>
  </conditionalFormatting>
  <conditionalFormatting sqref="C29:C45">
    <cfRule type="expression" dxfId="1712" priority="64">
      <formula>$G29="réalisé"</formula>
    </cfRule>
    <cfRule type="expression" dxfId="1711" priority="65">
      <formula>$G29="en cours"</formula>
    </cfRule>
    <cfRule type="expression" dxfId="1710" priority="66">
      <formula>$G29="non compris"</formula>
    </cfRule>
  </conditionalFormatting>
  <conditionalFormatting sqref="C55:F58">
    <cfRule type="expression" dxfId="1709" priority="63">
      <formula>$F55="réalisé"</formula>
    </cfRule>
  </conditionalFormatting>
  <conditionalFormatting sqref="G9">
    <cfRule type="expression" dxfId="1708" priority="62">
      <formula>$G$10="réalisé"</formula>
    </cfRule>
  </conditionalFormatting>
  <conditionalFormatting sqref="G10:G14">
    <cfRule type="expression" dxfId="1707" priority="61">
      <formula>$G$15="réalisé"</formula>
    </cfRule>
  </conditionalFormatting>
  <conditionalFormatting sqref="G20:G21">
    <cfRule type="expression" dxfId="1706" priority="60">
      <formula>$G$22="réalisé"</formula>
    </cfRule>
  </conditionalFormatting>
  <conditionalFormatting sqref="G30">
    <cfRule type="expression" dxfId="1705" priority="59">
      <formula>$G$31="réalisé"</formula>
    </cfRule>
  </conditionalFormatting>
  <conditionalFormatting sqref="D29">
    <cfRule type="expression" dxfId="1704" priority="56">
      <formula>$G29="réalisé"</formula>
    </cfRule>
    <cfRule type="expression" dxfId="1703" priority="57">
      <formula>$G29="en cours"</formula>
    </cfRule>
    <cfRule type="expression" dxfId="1702" priority="58">
      <formula>$G29="non compris"</formula>
    </cfRule>
  </conditionalFormatting>
  <conditionalFormatting sqref="D31">
    <cfRule type="expression" dxfId="1701" priority="53">
      <formula>$G31="réalisé"</formula>
    </cfRule>
    <cfRule type="expression" dxfId="1700" priority="54">
      <formula>$G31="en cours"</formula>
    </cfRule>
    <cfRule type="expression" dxfId="1699" priority="55">
      <formula>$G31="non compris"</formula>
    </cfRule>
  </conditionalFormatting>
  <conditionalFormatting sqref="D33">
    <cfRule type="expression" dxfId="1698" priority="50">
      <formula>$G33="réalisé"</formula>
    </cfRule>
    <cfRule type="expression" dxfId="1697" priority="51">
      <formula>$G33="en cours"</formula>
    </cfRule>
    <cfRule type="expression" dxfId="1696" priority="52">
      <formula>$G33="non compris"</formula>
    </cfRule>
  </conditionalFormatting>
  <conditionalFormatting sqref="D35">
    <cfRule type="expression" dxfId="1695" priority="47">
      <formula>$G35="réalisé"</formula>
    </cfRule>
    <cfRule type="expression" dxfId="1694" priority="48">
      <formula>$G35="en cours"</formula>
    </cfRule>
    <cfRule type="expression" dxfId="1693" priority="49">
      <formula>$G35="non compris"</formula>
    </cfRule>
  </conditionalFormatting>
  <conditionalFormatting sqref="D37">
    <cfRule type="expression" dxfId="1692" priority="44">
      <formula>$G37="réalisé"</formula>
    </cfRule>
    <cfRule type="expression" dxfId="1691" priority="45">
      <formula>$G37="en cours"</formula>
    </cfRule>
    <cfRule type="expression" dxfId="1690" priority="46">
      <formula>$G37="non compris"</formula>
    </cfRule>
  </conditionalFormatting>
  <conditionalFormatting sqref="D39">
    <cfRule type="expression" dxfId="1689" priority="41">
      <formula>$G39="réalisé"</formula>
    </cfRule>
    <cfRule type="expression" dxfId="1688" priority="42">
      <formula>$G39="en cours"</formula>
    </cfRule>
    <cfRule type="expression" dxfId="1687" priority="43">
      <formula>$G39="non compris"</formula>
    </cfRule>
  </conditionalFormatting>
  <conditionalFormatting sqref="D41">
    <cfRule type="expression" dxfId="1686" priority="38">
      <formula>$G41="réalisé"</formula>
    </cfRule>
    <cfRule type="expression" dxfId="1685" priority="39">
      <formula>$G41="en cours"</formula>
    </cfRule>
    <cfRule type="expression" dxfId="1684" priority="40">
      <formula>$G41="non compris"</formula>
    </cfRule>
  </conditionalFormatting>
  <conditionalFormatting sqref="D44:D45">
    <cfRule type="expression" dxfId="1683" priority="35">
      <formula>$G44="réalisé"</formula>
    </cfRule>
    <cfRule type="expression" dxfId="1682" priority="36">
      <formula>$G44="en cours"</formula>
    </cfRule>
    <cfRule type="expression" dxfId="1681" priority="37">
      <formula>$G44="non compris"</formula>
    </cfRule>
  </conditionalFormatting>
  <conditionalFormatting sqref="D30">
    <cfRule type="expression" dxfId="1680" priority="32">
      <formula>$G30="réalisé"</formula>
    </cfRule>
    <cfRule type="expression" dxfId="1679" priority="33">
      <formula>$G30="en cours"</formula>
    </cfRule>
    <cfRule type="expression" dxfId="1678" priority="34">
      <formula>$G30="non compris"</formula>
    </cfRule>
  </conditionalFormatting>
  <conditionalFormatting sqref="D32">
    <cfRule type="expression" dxfId="1677" priority="29">
      <formula>$G32="réalisé"</formula>
    </cfRule>
    <cfRule type="expression" dxfId="1676" priority="30">
      <formula>$G32="en cours"</formula>
    </cfRule>
    <cfRule type="expression" dxfId="1675" priority="31">
      <formula>$G32="non compris"</formula>
    </cfRule>
  </conditionalFormatting>
  <conditionalFormatting sqref="D34">
    <cfRule type="expression" dxfId="1674" priority="26">
      <formula>$G34="réalisé"</formula>
    </cfRule>
    <cfRule type="expression" dxfId="1673" priority="27">
      <formula>$G34="en cours"</formula>
    </cfRule>
    <cfRule type="expression" dxfId="1672" priority="28">
      <formula>$G34="non compris"</formula>
    </cfRule>
  </conditionalFormatting>
  <conditionalFormatting sqref="D36">
    <cfRule type="expression" dxfId="1671" priority="23">
      <formula>$G36="réalisé"</formula>
    </cfRule>
    <cfRule type="expression" dxfId="1670" priority="24">
      <formula>$G36="en cours"</formula>
    </cfRule>
    <cfRule type="expression" dxfId="1669" priority="25">
      <formula>$G36="non compris"</formula>
    </cfRule>
  </conditionalFormatting>
  <conditionalFormatting sqref="D38">
    <cfRule type="expression" dxfId="1668" priority="20">
      <formula>$G38="réalisé"</formula>
    </cfRule>
    <cfRule type="expression" dxfId="1667" priority="21">
      <formula>$G38="en cours"</formula>
    </cfRule>
    <cfRule type="expression" dxfId="1666" priority="22">
      <formula>$G38="non compris"</formula>
    </cfRule>
  </conditionalFormatting>
  <conditionalFormatting sqref="D40">
    <cfRule type="expression" dxfId="1665" priority="17">
      <formula>$G40="réalisé"</formula>
    </cfRule>
    <cfRule type="expression" dxfId="1664" priority="18">
      <formula>$G40="en cours"</formula>
    </cfRule>
    <cfRule type="expression" dxfId="1663" priority="19">
      <formula>$G40="non compris"</formula>
    </cfRule>
  </conditionalFormatting>
  <conditionalFormatting sqref="D42:D43">
    <cfRule type="expression" dxfId="1662" priority="14">
      <formula>$G42="réalisé"</formula>
    </cfRule>
    <cfRule type="expression" dxfId="1661" priority="15">
      <formula>$G42="en cours"</formula>
    </cfRule>
    <cfRule type="expression" dxfId="1660" priority="16">
      <formula>$G42="non compris"</formula>
    </cfRule>
  </conditionalFormatting>
  <conditionalFormatting sqref="D50">
    <cfRule type="expression" dxfId="1659" priority="11">
      <formula>$G50="réalisé"</formula>
    </cfRule>
    <cfRule type="expression" dxfId="1658" priority="12">
      <formula>$G50="en cours"</formula>
    </cfRule>
    <cfRule type="expression" dxfId="1657" priority="13">
      <formula>$G50="non compris"</formula>
    </cfRule>
  </conditionalFormatting>
  <conditionalFormatting sqref="D49">
    <cfRule type="expression" dxfId="1656" priority="8">
      <formula>$G49="réalisé"</formula>
    </cfRule>
    <cfRule type="expression" dxfId="1655" priority="9">
      <formula>$G49="en cours"</formula>
    </cfRule>
    <cfRule type="expression" dxfId="1654" priority="10">
      <formula>$G49="non compris"</formula>
    </cfRule>
  </conditionalFormatting>
  <conditionalFormatting sqref="D48">
    <cfRule type="expression" dxfId="1653" priority="5">
      <formula>$G48="réalisé"</formula>
    </cfRule>
    <cfRule type="expression" dxfId="1652" priority="6">
      <formula>$G48="en cours"</formula>
    </cfRule>
    <cfRule type="expression" dxfId="1651" priority="7">
      <formula>$G48="non compris"</formula>
    </cfRule>
  </conditionalFormatting>
  <conditionalFormatting sqref="D51">
    <cfRule type="expression" dxfId="1650" priority="2">
      <formula>$G51="réalisé"</formula>
    </cfRule>
    <cfRule type="expression" dxfId="1649" priority="3">
      <formula>$G51="en cours"</formula>
    </cfRule>
    <cfRule type="expression" dxfId="1648" priority="4">
      <formula>$G51="non compris"</formula>
    </cfRule>
  </conditionalFormatting>
  <conditionalFormatting sqref="D8:D26">
    <cfRule type="expression" dxfId="1647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82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rgb="FF00B050"/>
    <pageSetUpPr fitToPage="1"/>
  </sheetPr>
  <dimension ref="A1:I74"/>
  <sheetViews>
    <sheetView topLeftCell="A4" zoomScaleNormal="100" workbookViewId="0">
      <selection activeCell="E25" sqref="E25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7" t="s">
        <v>0</v>
      </c>
      <c r="B1" s="378"/>
      <c r="C1" s="378"/>
      <c r="D1" s="378"/>
      <c r="E1" s="378"/>
      <c r="F1" s="378"/>
      <c r="G1" s="378"/>
      <c r="H1" s="1" t="s">
        <v>1</v>
      </c>
      <c r="I1" s="3">
        <f ca="1">INT(MOD(INT((LISTE!D1-2)/7)+0.6,52+5/28))+1</f>
        <v>41</v>
      </c>
    </row>
    <row r="2" spans="1:9" x14ac:dyDescent="0.25">
      <c r="A2" s="390" t="s">
        <v>2</v>
      </c>
      <c r="B2" s="391"/>
      <c r="C2" s="70" t="str">
        <f ca="1">MID(CELL("nomfichier",A1),FIND("]",CELL("nomfichier",A1),1)+1,30)</f>
        <v>MOREAU</v>
      </c>
      <c r="D2" s="4" t="s">
        <v>72</v>
      </c>
      <c r="E2" s="379">
        <v>42985</v>
      </c>
      <c r="F2" s="379"/>
      <c r="G2" s="5"/>
      <c r="H2" s="380" t="s">
        <v>143</v>
      </c>
      <c r="I2" s="381"/>
    </row>
    <row r="3" spans="1:9" ht="15.75" x14ac:dyDescent="0.25">
      <c r="A3" s="392" t="s">
        <v>106</v>
      </c>
      <c r="B3" s="384"/>
      <c r="C3" s="6" t="s">
        <v>151</v>
      </c>
      <c r="D3" s="7" t="s">
        <v>3</v>
      </c>
      <c r="E3" s="382">
        <v>43017</v>
      </c>
      <c r="F3" s="383"/>
      <c r="G3" s="8"/>
      <c r="H3" s="384" t="str">
        <f ca="1">DATEDIF(E3,TODAY(),"m")&amp;"mois"&amp;-DATEDIF(E3,TODAY(),"md")&amp;"jours"</f>
        <v>12mois-3jours</v>
      </c>
      <c r="I3" s="385"/>
    </row>
    <row r="4" spans="1:9" ht="18.75" x14ac:dyDescent="0.25">
      <c r="A4" s="69" t="s">
        <v>117</v>
      </c>
      <c r="B4" s="129"/>
      <c r="C4" s="9" t="s">
        <v>120</v>
      </c>
      <c r="D4" s="10" t="s">
        <v>4</v>
      </c>
      <c r="E4" s="386">
        <f>E3+70</f>
        <v>43087</v>
      </c>
      <c r="F4" s="386"/>
      <c r="G4" s="11"/>
      <c r="H4" s="12"/>
      <c r="I4" s="13"/>
    </row>
    <row r="5" spans="1:9" x14ac:dyDescent="0.25">
      <c r="A5" s="393" t="s">
        <v>76</v>
      </c>
      <c r="B5" s="394"/>
      <c r="C5" s="15"/>
      <c r="D5" s="16"/>
      <c r="E5" s="15"/>
      <c r="F5" s="15"/>
      <c r="G5" s="17"/>
      <c r="H5" s="18"/>
      <c r="I5" s="19"/>
    </row>
    <row r="6" spans="1:9" ht="18.75" x14ac:dyDescent="0.3">
      <c r="A6" s="395" t="s">
        <v>75</v>
      </c>
      <c r="B6" s="396"/>
      <c r="C6" s="387" t="s">
        <v>145</v>
      </c>
      <c r="D6" s="388"/>
      <c r="E6" s="388"/>
      <c r="F6" s="388"/>
      <c r="G6" s="388"/>
      <c r="H6" s="389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22"/>
      <c r="B8" s="200"/>
      <c r="C8" s="28" t="s">
        <v>124</v>
      </c>
      <c r="D8" s="52" t="s">
        <v>38</v>
      </c>
      <c r="E8" s="180">
        <v>7</v>
      </c>
      <c r="F8" s="25"/>
      <c r="G8" s="26" t="s">
        <v>36</v>
      </c>
      <c r="H8" s="27"/>
      <c r="I8" s="19"/>
    </row>
    <row r="9" spans="1:9" x14ac:dyDescent="0.25">
      <c r="A9" s="122"/>
      <c r="B9" s="130"/>
      <c r="C9" s="28" t="s">
        <v>131</v>
      </c>
      <c r="D9" s="53" t="str">
        <f>D8</f>
        <v>TEMA</v>
      </c>
      <c r="E9" s="181">
        <v>7</v>
      </c>
      <c r="F9" s="29"/>
      <c r="G9" s="30" t="s">
        <v>36</v>
      </c>
      <c r="H9" s="27"/>
      <c r="I9" s="19"/>
    </row>
    <row r="10" spans="1:9" ht="15" customHeight="1" x14ac:dyDescent="0.25">
      <c r="A10" s="131"/>
      <c r="B10" s="182"/>
      <c r="C10" s="28" t="s">
        <v>132</v>
      </c>
      <c r="D10" s="52" t="str">
        <f>D9</f>
        <v>TEMA</v>
      </c>
      <c r="E10" s="180">
        <v>7</v>
      </c>
      <c r="F10" s="31"/>
      <c r="G10" s="30" t="s">
        <v>36</v>
      </c>
      <c r="H10" s="27"/>
      <c r="I10" s="19"/>
    </row>
    <row r="11" spans="1:9" ht="15" customHeight="1" x14ac:dyDescent="0.25">
      <c r="A11" s="131"/>
      <c r="B11" s="132"/>
      <c r="C11" s="28" t="s">
        <v>133</v>
      </c>
      <c r="D11" s="54" t="str">
        <f>D8</f>
        <v>TEMA</v>
      </c>
      <c r="E11" s="180">
        <f>E10+1</f>
        <v>8</v>
      </c>
      <c r="F11" s="31"/>
      <c r="G11" s="30" t="s">
        <v>36</v>
      </c>
      <c r="H11" s="27"/>
      <c r="I11" s="19"/>
    </row>
    <row r="12" spans="1:9" ht="15" customHeight="1" x14ac:dyDescent="0.25">
      <c r="A12" s="144">
        <v>14466.47</v>
      </c>
      <c r="B12" s="143">
        <f>A12-12055.39</f>
        <v>2411.08</v>
      </c>
      <c r="C12" s="28" t="s">
        <v>134</v>
      </c>
      <c r="D12" s="54" t="str">
        <f t="shared" ref="D12:D13" si="0">D9</f>
        <v>TEMA</v>
      </c>
      <c r="E12" s="180">
        <v>35</v>
      </c>
      <c r="F12" s="31"/>
      <c r="G12" s="30" t="s">
        <v>35</v>
      </c>
      <c r="H12" s="27" t="s">
        <v>183</v>
      </c>
      <c r="I12" s="19"/>
    </row>
    <row r="13" spans="1:9" ht="15" customHeight="1" x14ac:dyDescent="0.25">
      <c r="A13" s="131"/>
      <c r="B13" s="132"/>
      <c r="C13" s="28" t="s">
        <v>135</v>
      </c>
      <c r="D13" s="54" t="str">
        <f t="shared" si="0"/>
        <v>TEMA</v>
      </c>
      <c r="E13" s="180">
        <f>E12+1</f>
        <v>36</v>
      </c>
      <c r="F13" s="31"/>
      <c r="G13" s="30" t="s">
        <v>9</v>
      </c>
      <c r="H13" s="27"/>
      <c r="I13" s="19"/>
    </row>
    <row r="14" spans="1:9" ht="15" customHeight="1" x14ac:dyDescent="0.25">
      <c r="A14" s="131"/>
      <c r="B14" s="132"/>
      <c r="C14" s="55" t="s">
        <v>136</v>
      </c>
      <c r="D14" s="205" t="s">
        <v>68</v>
      </c>
      <c r="E14" s="204">
        <f>E13</f>
        <v>36</v>
      </c>
      <c r="F14" s="206"/>
      <c r="G14" s="58" t="s">
        <v>9</v>
      </c>
      <c r="H14" s="59"/>
      <c r="I14" s="19"/>
    </row>
    <row r="15" spans="1:9" x14ac:dyDescent="0.25">
      <c r="A15" s="131"/>
      <c r="B15" s="132"/>
      <c r="C15" s="28" t="s">
        <v>62</v>
      </c>
      <c r="D15" s="53" t="s">
        <v>64</v>
      </c>
      <c r="E15" s="24">
        <f>E10+4</f>
        <v>11</v>
      </c>
      <c r="F15" s="29"/>
      <c r="G15" s="30" t="s">
        <v>70</v>
      </c>
      <c r="H15" s="27"/>
      <c r="I15" s="19"/>
    </row>
    <row r="16" spans="1:9" x14ac:dyDescent="0.25">
      <c r="A16" s="131"/>
      <c r="B16" s="132"/>
      <c r="C16" s="28" t="s">
        <v>10</v>
      </c>
      <c r="D16" s="52" t="s">
        <v>64</v>
      </c>
      <c r="E16" s="24">
        <f>E10+1</f>
        <v>8</v>
      </c>
      <c r="F16" s="29"/>
      <c r="G16" s="30" t="s">
        <v>70</v>
      </c>
      <c r="H16" s="27"/>
      <c r="I16" s="19"/>
    </row>
    <row r="17" spans="1:9" x14ac:dyDescent="0.25">
      <c r="A17" s="131"/>
      <c r="B17" s="132"/>
      <c r="C17" s="28" t="s">
        <v>11</v>
      </c>
      <c r="D17" s="53" t="s">
        <v>38</v>
      </c>
      <c r="E17" s="24">
        <v>11</v>
      </c>
      <c r="F17" s="29"/>
      <c r="G17" s="30" t="s">
        <v>36</v>
      </c>
      <c r="H17" s="27"/>
      <c r="I17" s="19"/>
    </row>
    <row r="18" spans="1:9" x14ac:dyDescent="0.25">
      <c r="A18" s="144">
        <v>833.33</v>
      </c>
      <c r="B18" s="143">
        <f>A18</f>
        <v>833.33</v>
      </c>
      <c r="C18" s="28" t="s">
        <v>12</v>
      </c>
      <c r="D18" s="52" t="s">
        <v>41</v>
      </c>
      <c r="E18" s="180">
        <v>37</v>
      </c>
      <c r="F18" s="29"/>
      <c r="G18" s="30" t="s">
        <v>9</v>
      </c>
      <c r="H18" s="27"/>
      <c r="I18" s="19"/>
    </row>
    <row r="19" spans="1:9" x14ac:dyDescent="0.25">
      <c r="A19" s="131"/>
      <c r="B19" s="132"/>
      <c r="C19" s="28" t="s">
        <v>73</v>
      </c>
      <c r="D19" s="53" t="str">
        <f>D10</f>
        <v>TEMA</v>
      </c>
      <c r="E19" s="24">
        <f>IF(E18="","",MOD(E18+1,52))</f>
        <v>38</v>
      </c>
      <c r="F19" s="29"/>
      <c r="G19" s="30" t="s">
        <v>9</v>
      </c>
      <c r="H19" s="27"/>
      <c r="I19" s="19"/>
    </row>
    <row r="20" spans="1:9" x14ac:dyDescent="0.25">
      <c r="A20" s="149">
        <v>713.52</v>
      </c>
      <c r="B20" s="143">
        <f>A20</f>
        <v>713.52</v>
      </c>
      <c r="C20" s="28" t="s">
        <v>59</v>
      </c>
      <c r="D20" s="52" t="s">
        <v>41</v>
      </c>
      <c r="E20" s="24">
        <f>IF(E19="","",MOD(E19+1,52))</f>
        <v>39</v>
      </c>
      <c r="F20" s="29"/>
      <c r="G20" s="30" t="s">
        <v>9</v>
      </c>
      <c r="H20" s="27"/>
      <c r="I20" s="19"/>
    </row>
    <row r="21" spans="1:9" x14ac:dyDescent="0.25">
      <c r="A21" s="149">
        <v>155.15</v>
      </c>
      <c r="B21" s="143">
        <f>A21</f>
        <v>155.15</v>
      </c>
      <c r="C21" s="28" t="s">
        <v>60</v>
      </c>
      <c r="D21" s="54" t="s">
        <v>44</v>
      </c>
      <c r="E21" s="24">
        <f>E20</f>
        <v>39</v>
      </c>
      <c r="F21" s="29"/>
      <c r="G21" s="30" t="s">
        <v>9</v>
      </c>
      <c r="H21" s="50"/>
      <c r="I21" s="19"/>
    </row>
    <row r="22" spans="1:9" x14ac:dyDescent="0.25">
      <c r="A22" s="131"/>
      <c r="B22" s="132"/>
      <c r="C22" s="167" t="s">
        <v>13</v>
      </c>
      <c r="D22" s="168" t="s">
        <v>44</v>
      </c>
      <c r="E22" s="169">
        <f>E20</f>
        <v>39</v>
      </c>
      <c r="F22" s="170"/>
      <c r="G22" s="171" t="s">
        <v>9</v>
      </c>
      <c r="H22" s="172"/>
      <c r="I22" s="19"/>
    </row>
    <row r="23" spans="1:9" x14ac:dyDescent="0.25">
      <c r="A23" s="144">
        <v>2158.36</v>
      </c>
      <c r="B23" s="143">
        <f>A23-2158.36</f>
        <v>0</v>
      </c>
      <c r="C23" s="32" t="s">
        <v>138</v>
      </c>
      <c r="D23" s="52" t="s">
        <v>45</v>
      </c>
      <c r="E23" s="24">
        <v>40</v>
      </c>
      <c r="F23" s="29"/>
      <c r="G23" s="30" t="s">
        <v>9</v>
      </c>
      <c r="H23" s="27"/>
      <c r="I23" s="19"/>
    </row>
    <row r="24" spans="1:9" x14ac:dyDescent="0.25">
      <c r="A24" s="131"/>
      <c r="B24" s="132"/>
      <c r="C24" s="28" t="s">
        <v>14</v>
      </c>
      <c r="D24" s="53" t="str">
        <f>D17</f>
        <v>TEMA</v>
      </c>
      <c r="E24" s="24">
        <f>IF(E20="","",MOD(E20+2,52))</f>
        <v>41</v>
      </c>
      <c r="F24" s="29"/>
      <c r="G24" s="30" t="s">
        <v>9</v>
      </c>
      <c r="H24" s="27"/>
      <c r="I24" s="19"/>
    </row>
    <row r="25" spans="1:9" x14ac:dyDescent="0.25">
      <c r="A25" s="144">
        <v>0</v>
      </c>
      <c r="B25" s="143">
        <f>A25</f>
        <v>0</v>
      </c>
      <c r="C25" s="183" t="s">
        <v>137</v>
      </c>
      <c r="D25" s="53" t="s">
        <v>56</v>
      </c>
      <c r="E25" s="24">
        <v>40</v>
      </c>
      <c r="F25" s="29"/>
      <c r="G25" s="72" t="s">
        <v>9</v>
      </c>
      <c r="H25" s="27"/>
      <c r="I25" s="19"/>
    </row>
    <row r="26" spans="1:9" x14ac:dyDescent="0.25">
      <c r="A26" s="131"/>
      <c r="B26" s="132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145"/>
      <c r="B27" s="146"/>
      <c r="C27" s="387" t="s">
        <v>144</v>
      </c>
      <c r="D27" s="388"/>
      <c r="E27" s="388"/>
      <c r="F27" s="388"/>
      <c r="G27" s="388"/>
      <c r="H27" s="389"/>
      <c r="I27" s="19"/>
    </row>
    <row r="28" spans="1:9" ht="15.75" thickBot="1" x14ac:dyDescent="0.3">
      <c r="A28" s="131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44">
        <v>653.62</v>
      </c>
      <c r="B29" s="143">
        <f>A29</f>
        <v>653.62</v>
      </c>
      <c r="C29" s="78" t="s">
        <v>66</v>
      </c>
      <c r="D29" s="52" t="s">
        <v>49</v>
      </c>
      <c r="E29" s="79">
        <v>41</v>
      </c>
      <c r="F29" s="25"/>
      <c r="G29" s="26" t="s">
        <v>9</v>
      </c>
      <c r="H29" s="27"/>
      <c r="I29" s="19"/>
    </row>
    <row r="30" spans="1:9" x14ac:dyDescent="0.25">
      <c r="A30" s="144">
        <v>1097.83</v>
      </c>
      <c r="B30" s="143">
        <f>A30</f>
        <v>1097.83</v>
      </c>
      <c r="C30" s="28" t="s">
        <v>67</v>
      </c>
      <c r="D30" s="53" t="s">
        <v>47</v>
      </c>
      <c r="E30" s="24">
        <v>41</v>
      </c>
      <c r="F30" s="29"/>
      <c r="G30" s="30"/>
      <c r="H30" s="27"/>
      <c r="I30" s="19"/>
    </row>
    <row r="31" spans="1:9" x14ac:dyDescent="0.25">
      <c r="A31" s="131"/>
      <c r="B31" s="132"/>
      <c r="C31" s="62" t="s">
        <v>16</v>
      </c>
      <c r="D31" s="52" t="str">
        <f>D29</f>
        <v>BENELEC</v>
      </c>
      <c r="E31" s="24">
        <v>43</v>
      </c>
      <c r="F31" s="29"/>
      <c r="G31" s="30"/>
      <c r="H31" s="27"/>
      <c r="I31" s="19"/>
    </row>
    <row r="32" spans="1:9" x14ac:dyDescent="0.25">
      <c r="A32" s="144">
        <v>0</v>
      </c>
      <c r="B32" s="143">
        <f>A32</f>
        <v>0</v>
      </c>
      <c r="C32" s="80" t="s">
        <v>17</v>
      </c>
      <c r="D32" s="53" t="s">
        <v>128</v>
      </c>
      <c r="E32" s="24">
        <v>44</v>
      </c>
      <c r="F32" s="29"/>
      <c r="G32" s="30" t="s">
        <v>9</v>
      </c>
      <c r="H32" s="27"/>
      <c r="I32" s="19"/>
    </row>
    <row r="33" spans="1:9" x14ac:dyDescent="0.25">
      <c r="A33" s="143"/>
      <c r="B33" s="143"/>
      <c r="C33" s="62" t="s">
        <v>140</v>
      </c>
      <c r="D33" s="52" t="s">
        <v>64</v>
      </c>
      <c r="E33" s="24">
        <f>IF(E32="","",MOD(E32+1,52))</f>
        <v>45</v>
      </c>
      <c r="F33" s="29"/>
      <c r="G33" s="30" t="s">
        <v>70</v>
      </c>
      <c r="H33" s="27"/>
      <c r="I33" s="19"/>
    </row>
    <row r="34" spans="1:9" x14ac:dyDescent="0.25">
      <c r="A34" s="143">
        <v>0</v>
      </c>
      <c r="B34" s="143">
        <f>A34</f>
        <v>0</v>
      </c>
      <c r="C34" s="28" t="s">
        <v>141</v>
      </c>
      <c r="D34" s="53" t="s">
        <v>64</v>
      </c>
      <c r="E34" s="24">
        <f>IF(E32="","",MOD(E32+1,52))</f>
        <v>45</v>
      </c>
      <c r="F34" s="29"/>
      <c r="G34" s="30" t="s">
        <v>70</v>
      </c>
      <c r="H34" s="27"/>
      <c r="I34" s="19"/>
    </row>
    <row r="35" spans="1:9" x14ac:dyDescent="0.25">
      <c r="A35" s="131"/>
      <c r="B35" s="13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144">
        <v>0</v>
      </c>
      <c r="B36" s="143">
        <f>A36</f>
        <v>0</v>
      </c>
      <c r="C36" s="28" t="s">
        <v>19</v>
      </c>
      <c r="D36" s="53" t="s">
        <v>53</v>
      </c>
      <c r="E36" s="24">
        <f>IF(E34="","",MOD(E34+1,52))</f>
        <v>46</v>
      </c>
      <c r="F36" s="29"/>
      <c r="G36" s="30"/>
      <c r="H36" s="27"/>
      <c r="I36" s="19"/>
    </row>
    <row r="37" spans="1:9" x14ac:dyDescent="0.25">
      <c r="A37" s="131"/>
      <c r="B37" s="132"/>
      <c r="C37" s="28" t="s">
        <v>20</v>
      </c>
      <c r="D37" s="52" t="str">
        <f>D30</f>
        <v>SOARES</v>
      </c>
      <c r="E37" s="24">
        <f>IF(E36="","",MOD(E36+1,52))</f>
        <v>47</v>
      </c>
      <c r="F37" s="29"/>
      <c r="G37" s="30"/>
      <c r="H37" s="27"/>
      <c r="I37" s="19"/>
    </row>
    <row r="38" spans="1:9" x14ac:dyDescent="0.25">
      <c r="A38" s="131"/>
      <c r="B38" s="132"/>
      <c r="C38" s="28" t="s">
        <v>21</v>
      </c>
      <c r="D38" s="53" t="str">
        <f>D29</f>
        <v>BENELEC</v>
      </c>
      <c r="E38" s="24">
        <f>IF(E37="","",MOD(E37+1,52))</f>
        <v>48</v>
      </c>
      <c r="F38" s="29"/>
      <c r="G38" s="30" t="s">
        <v>9</v>
      </c>
      <c r="H38" s="27"/>
      <c r="I38" s="19"/>
    </row>
    <row r="39" spans="1:9" x14ac:dyDescent="0.25">
      <c r="A39" s="131"/>
      <c r="B39" s="132"/>
      <c r="C39" s="28" t="s">
        <v>22</v>
      </c>
      <c r="D39" s="52" t="str">
        <f>D32</f>
        <v>MEYER</v>
      </c>
      <c r="E39" s="24">
        <f>IF(E37="","",MOD(E37+1,52))</f>
        <v>48</v>
      </c>
      <c r="F39" s="29"/>
      <c r="G39" s="30"/>
      <c r="H39" s="27"/>
      <c r="I39" s="19"/>
    </row>
    <row r="40" spans="1:9" x14ac:dyDescent="0.25">
      <c r="A40" s="144">
        <v>0</v>
      </c>
      <c r="B40" s="143">
        <v>0</v>
      </c>
      <c r="C40" s="28" t="s">
        <v>23</v>
      </c>
      <c r="D40" s="53" t="s">
        <v>53</v>
      </c>
      <c r="E40" s="24">
        <f>E36+4</f>
        <v>50</v>
      </c>
      <c r="F40" s="29"/>
      <c r="G40" s="30" t="s">
        <v>9</v>
      </c>
      <c r="H40" s="27"/>
      <c r="I40" s="19"/>
    </row>
    <row r="41" spans="1:9" x14ac:dyDescent="0.25">
      <c r="A41" s="131"/>
      <c r="B41" s="132"/>
      <c r="C41" s="28" t="s">
        <v>24</v>
      </c>
      <c r="D41" s="52" t="s">
        <v>64</v>
      </c>
      <c r="E41" s="24">
        <f>E39+1</f>
        <v>49</v>
      </c>
      <c r="F41" s="29"/>
      <c r="G41" s="30" t="s">
        <v>70</v>
      </c>
      <c r="H41" s="27"/>
      <c r="I41" s="19"/>
    </row>
    <row r="42" spans="1:9" x14ac:dyDescent="0.25">
      <c r="A42" s="131"/>
      <c r="B42" s="132"/>
      <c r="C42" s="28" t="s">
        <v>25</v>
      </c>
      <c r="D42" s="53" t="str">
        <f>D34</f>
        <v>A CHARGE CLIENT</v>
      </c>
      <c r="E42" s="24">
        <f>IF(E40="","",MOD(E40+2,52))</f>
        <v>0</v>
      </c>
      <c r="F42" s="29"/>
      <c r="G42" s="30" t="s">
        <v>70</v>
      </c>
      <c r="H42" s="27"/>
      <c r="I42" s="19"/>
    </row>
    <row r="43" spans="1:9" x14ac:dyDescent="0.25">
      <c r="A43" s="143">
        <v>0</v>
      </c>
      <c r="B43" s="143">
        <f>A43</f>
        <v>0</v>
      </c>
      <c r="C43" s="81" t="s">
        <v>147</v>
      </c>
      <c r="D43" s="52" t="s">
        <v>64</v>
      </c>
      <c r="E43" s="82">
        <f>E44</f>
        <v>0</v>
      </c>
      <c r="F43" s="83"/>
      <c r="G43" s="72" t="s">
        <v>70</v>
      </c>
      <c r="H43" s="27"/>
      <c r="I43" s="19"/>
    </row>
    <row r="44" spans="1:9" x14ac:dyDescent="0.25">
      <c r="A44" s="144">
        <v>0</v>
      </c>
      <c r="B44" s="143">
        <f>A44</f>
        <v>0</v>
      </c>
      <c r="C44" s="81" t="s">
        <v>139</v>
      </c>
      <c r="D44" s="193" t="s">
        <v>54</v>
      </c>
      <c r="E44" s="82">
        <f>IF(E40="","",MOD(E40+2,52))</f>
        <v>0</v>
      </c>
      <c r="F44" s="83"/>
      <c r="G44" s="72"/>
      <c r="H44" s="194"/>
      <c r="I44" s="19"/>
    </row>
    <row r="45" spans="1:9" x14ac:dyDescent="0.25">
      <c r="A45" s="131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145"/>
      <c r="B46" s="146"/>
      <c r="C46" s="387" t="s">
        <v>146</v>
      </c>
      <c r="D46" s="388"/>
      <c r="E46" s="388"/>
      <c r="F46" s="388"/>
      <c r="G46" s="388"/>
      <c r="H46" s="389"/>
      <c r="I46" s="19"/>
    </row>
    <row r="47" spans="1:9" ht="15.75" thickBot="1" x14ac:dyDescent="0.3">
      <c r="A47" s="131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144">
        <v>0</v>
      </c>
      <c r="B48" s="143">
        <f>A48</f>
        <v>0</v>
      </c>
      <c r="C48" s="88" t="s">
        <v>26</v>
      </c>
      <c r="D48" s="52" t="s">
        <v>57</v>
      </c>
      <c r="E48" s="89">
        <f>E32+1</f>
        <v>45</v>
      </c>
      <c r="F48" s="25"/>
      <c r="G48" s="26" t="s">
        <v>9</v>
      </c>
      <c r="H48" s="27"/>
      <c r="I48" s="19"/>
    </row>
    <row r="49" spans="1:9" x14ac:dyDescent="0.25">
      <c r="A49" s="133"/>
      <c r="B49" s="173"/>
      <c r="C49" s="102" t="s">
        <v>69</v>
      </c>
      <c r="D49" s="103" t="s">
        <v>64</v>
      </c>
      <c r="E49" s="104">
        <f>E48</f>
        <v>45</v>
      </c>
      <c r="F49" s="105"/>
      <c r="G49" s="106" t="s">
        <v>70</v>
      </c>
      <c r="H49" s="27"/>
      <c r="I49" s="19"/>
    </row>
    <row r="50" spans="1:9" x14ac:dyDescent="0.25">
      <c r="A50" s="133"/>
      <c r="B50" s="173"/>
      <c r="C50" s="92" t="s">
        <v>61</v>
      </c>
      <c r="D50" s="99" t="s">
        <v>68</v>
      </c>
      <c r="E50" s="101">
        <f>E48+1</f>
        <v>46</v>
      </c>
      <c r="F50" s="95"/>
      <c r="G50" s="96" t="s">
        <v>9</v>
      </c>
      <c r="H50" s="97"/>
      <c r="I50" s="19"/>
    </row>
    <row r="51" spans="1:9" x14ac:dyDescent="0.25">
      <c r="A51" s="133">
        <f>SUM(A8:A50)</f>
        <v>20078.28</v>
      </c>
      <c r="B51" s="133">
        <f>SUM(B8:B50)</f>
        <v>5864.53</v>
      </c>
      <c r="C51" s="91" t="s">
        <v>27</v>
      </c>
      <c r="D51" s="52" t="str">
        <f>D48</f>
        <v>TASTEPER</v>
      </c>
      <c r="E51" s="90">
        <f>E48+3</f>
        <v>48</v>
      </c>
      <c r="F51" s="29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7" t="s">
        <v>142</v>
      </c>
      <c r="I54" s="19"/>
    </row>
    <row r="55" spans="1:9" x14ac:dyDescent="0.25">
      <c r="A55" s="42"/>
      <c r="B55" s="126"/>
      <c r="C55" s="43" t="s">
        <v>122</v>
      </c>
      <c r="D55" s="107">
        <v>42990</v>
      </c>
      <c r="E55" s="44"/>
      <c r="F55" s="45" t="s">
        <v>109</v>
      </c>
      <c r="G55" s="18"/>
      <c r="H55" s="398"/>
      <c r="I55" s="19"/>
    </row>
    <row r="56" spans="1:9" x14ac:dyDescent="0.25">
      <c r="A56" s="42"/>
      <c r="B56" s="126"/>
      <c r="C56" s="33" t="s">
        <v>123</v>
      </c>
      <c r="D56" s="49">
        <v>43011</v>
      </c>
      <c r="E56" s="46"/>
      <c r="F56" s="2" t="s">
        <v>109</v>
      </c>
      <c r="G56" s="18"/>
      <c r="H56" s="399" t="str">
        <f>DATEDIF(E3,D58,"m")&amp;"mois"&amp;DATEDIF(E3,D58,"md")&amp;"jours"</f>
        <v>4mois20jours</v>
      </c>
      <c r="I56" s="19"/>
    </row>
    <row r="57" spans="1:9" ht="15.75" thickBot="1" x14ac:dyDescent="0.3">
      <c r="A57" s="42"/>
      <c r="B57" s="126"/>
      <c r="C57" s="33" t="s">
        <v>31</v>
      </c>
      <c r="D57" s="49"/>
      <c r="E57" s="46"/>
      <c r="F57" s="2" t="s">
        <v>148</v>
      </c>
      <c r="G57" s="18"/>
      <c r="H57" s="400"/>
      <c r="I57" s="19"/>
    </row>
    <row r="58" spans="1:9" x14ac:dyDescent="0.25">
      <c r="A58" s="42"/>
      <c r="B58" s="126"/>
      <c r="C58" s="47" t="s">
        <v>32</v>
      </c>
      <c r="D58" s="184">
        <v>43160</v>
      </c>
      <c r="E58" s="14"/>
      <c r="F58" s="15" t="s">
        <v>148</v>
      </c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1"/>
      <c r="D60" s="371"/>
      <c r="E60" s="371"/>
      <c r="F60" s="371"/>
      <c r="G60" s="371"/>
      <c r="H60" s="371"/>
      <c r="I60" s="372"/>
    </row>
    <row r="61" spans="1:9" x14ac:dyDescent="0.25">
      <c r="A61" s="34"/>
      <c r="B61" s="18"/>
      <c r="C61" s="373"/>
      <c r="D61" s="373"/>
      <c r="E61" s="373"/>
      <c r="F61" s="373"/>
      <c r="G61" s="373"/>
      <c r="H61" s="373"/>
      <c r="I61" s="374"/>
    </row>
    <row r="62" spans="1:9" x14ac:dyDescent="0.25">
      <c r="A62" s="34"/>
      <c r="B62" s="18"/>
      <c r="C62" s="373"/>
      <c r="D62" s="373"/>
      <c r="E62" s="373"/>
      <c r="F62" s="373"/>
      <c r="G62" s="373"/>
      <c r="H62" s="373"/>
      <c r="I62" s="374"/>
    </row>
    <row r="63" spans="1:9" x14ac:dyDescent="0.25">
      <c r="A63" s="34"/>
      <c r="B63" s="18"/>
      <c r="C63" s="373"/>
      <c r="D63" s="373"/>
      <c r="E63" s="373"/>
      <c r="F63" s="373"/>
      <c r="G63" s="373"/>
      <c r="H63" s="373"/>
      <c r="I63" s="374"/>
    </row>
    <row r="64" spans="1:9" x14ac:dyDescent="0.25">
      <c r="A64" s="34"/>
      <c r="B64" s="18"/>
      <c r="C64" s="373"/>
      <c r="D64" s="373"/>
      <c r="E64" s="373"/>
      <c r="F64" s="373"/>
      <c r="G64" s="373"/>
      <c r="H64" s="373"/>
      <c r="I64" s="374"/>
    </row>
    <row r="65" spans="1:9" x14ac:dyDescent="0.25">
      <c r="A65" s="44"/>
      <c r="B65" s="45"/>
      <c r="C65" s="375"/>
      <c r="D65" s="375"/>
      <c r="E65" s="375"/>
      <c r="F65" s="375"/>
      <c r="G65" s="375"/>
      <c r="H65" s="375"/>
      <c r="I65" s="376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H54:H55"/>
    <mergeCell ref="H56:H57"/>
    <mergeCell ref="C60:I65"/>
    <mergeCell ref="E4:F4"/>
    <mergeCell ref="A5:B5"/>
    <mergeCell ref="A6:B6"/>
    <mergeCell ref="C6:H6"/>
    <mergeCell ref="C27:H27"/>
    <mergeCell ref="C46:H46"/>
    <mergeCell ref="A1:G1"/>
    <mergeCell ref="A2:B2"/>
    <mergeCell ref="E2:F2"/>
    <mergeCell ref="H2:I2"/>
    <mergeCell ref="A3:B3"/>
    <mergeCell ref="E3:F3"/>
    <mergeCell ref="H3:I3"/>
  </mergeCells>
  <conditionalFormatting sqref="C52:G52">
    <cfRule type="expression" dxfId="1604" priority="70">
      <formula>$F52="réalisé"</formula>
    </cfRule>
  </conditionalFormatting>
  <conditionalFormatting sqref="C48:C51 E48:H51 E29:H45 C8:H26">
    <cfRule type="expression" dxfId="1603" priority="67">
      <formula>$G8="réalisé"</formula>
    </cfRule>
    <cfRule type="expression" dxfId="1602" priority="68">
      <formula>$G8="en cours"</formula>
    </cfRule>
    <cfRule type="expression" dxfId="1601" priority="69">
      <formula>$G8="non compris"</formula>
    </cfRule>
  </conditionalFormatting>
  <conditionalFormatting sqref="C29:C45">
    <cfRule type="expression" dxfId="1600" priority="64">
      <formula>$G29="réalisé"</formula>
    </cfRule>
    <cfRule type="expression" dxfId="1599" priority="65">
      <formula>$G29="en cours"</formula>
    </cfRule>
    <cfRule type="expression" dxfId="1598" priority="66">
      <formula>$G29="non compris"</formula>
    </cfRule>
  </conditionalFormatting>
  <conditionalFormatting sqref="C55:F58">
    <cfRule type="expression" dxfId="1597" priority="63">
      <formula>$F55="réalisé"</formula>
    </cfRule>
  </conditionalFormatting>
  <conditionalFormatting sqref="G9">
    <cfRule type="expression" dxfId="1596" priority="62">
      <formula>$G$10="réalisé"</formula>
    </cfRule>
  </conditionalFormatting>
  <conditionalFormatting sqref="G10:G14">
    <cfRule type="expression" dxfId="1595" priority="61">
      <formula>$G$15="réalisé"</formula>
    </cfRule>
  </conditionalFormatting>
  <conditionalFormatting sqref="G20:G21">
    <cfRule type="expression" dxfId="1594" priority="60">
      <formula>$G$22="réalisé"</formula>
    </cfRule>
  </conditionalFormatting>
  <conditionalFormatting sqref="G30">
    <cfRule type="expression" dxfId="1593" priority="59">
      <formula>$G$31="réalisé"</formula>
    </cfRule>
  </conditionalFormatting>
  <conditionalFormatting sqref="D29">
    <cfRule type="expression" dxfId="1592" priority="56">
      <formula>$G29="réalisé"</formula>
    </cfRule>
    <cfRule type="expression" dxfId="1591" priority="57">
      <formula>$G29="en cours"</formula>
    </cfRule>
    <cfRule type="expression" dxfId="1590" priority="58">
      <formula>$G29="non compris"</formula>
    </cfRule>
  </conditionalFormatting>
  <conditionalFormatting sqref="D31">
    <cfRule type="expression" dxfId="1589" priority="53">
      <formula>$G31="réalisé"</formula>
    </cfRule>
    <cfRule type="expression" dxfId="1588" priority="54">
      <formula>$G31="en cours"</formula>
    </cfRule>
    <cfRule type="expression" dxfId="1587" priority="55">
      <formula>$G31="non compris"</formula>
    </cfRule>
  </conditionalFormatting>
  <conditionalFormatting sqref="D33">
    <cfRule type="expression" dxfId="1586" priority="50">
      <formula>$G33="réalisé"</formula>
    </cfRule>
    <cfRule type="expression" dxfId="1585" priority="51">
      <formula>$G33="en cours"</formula>
    </cfRule>
    <cfRule type="expression" dxfId="1584" priority="52">
      <formula>$G33="non compris"</formula>
    </cfRule>
  </conditionalFormatting>
  <conditionalFormatting sqref="D35">
    <cfRule type="expression" dxfId="1583" priority="47">
      <formula>$G35="réalisé"</formula>
    </cfRule>
    <cfRule type="expression" dxfId="1582" priority="48">
      <formula>$G35="en cours"</formula>
    </cfRule>
    <cfRule type="expression" dxfId="1581" priority="49">
      <formula>$G35="non compris"</formula>
    </cfRule>
  </conditionalFormatting>
  <conditionalFormatting sqref="D37">
    <cfRule type="expression" dxfId="1580" priority="44">
      <formula>$G37="réalisé"</formula>
    </cfRule>
    <cfRule type="expression" dxfId="1579" priority="45">
      <formula>$G37="en cours"</formula>
    </cfRule>
    <cfRule type="expression" dxfId="1578" priority="46">
      <formula>$G37="non compris"</formula>
    </cfRule>
  </conditionalFormatting>
  <conditionalFormatting sqref="D39">
    <cfRule type="expression" dxfId="1577" priority="41">
      <formula>$G39="réalisé"</formula>
    </cfRule>
    <cfRule type="expression" dxfId="1576" priority="42">
      <formula>$G39="en cours"</formula>
    </cfRule>
    <cfRule type="expression" dxfId="1575" priority="43">
      <formula>$G39="non compris"</formula>
    </cfRule>
  </conditionalFormatting>
  <conditionalFormatting sqref="D41">
    <cfRule type="expression" dxfId="1574" priority="38">
      <formula>$G41="réalisé"</formula>
    </cfRule>
    <cfRule type="expression" dxfId="1573" priority="39">
      <formula>$G41="en cours"</formula>
    </cfRule>
    <cfRule type="expression" dxfId="1572" priority="40">
      <formula>$G41="non compris"</formula>
    </cfRule>
  </conditionalFormatting>
  <conditionalFormatting sqref="D44:D45">
    <cfRule type="expression" dxfId="1571" priority="35">
      <formula>$G44="réalisé"</formula>
    </cfRule>
    <cfRule type="expression" dxfId="1570" priority="36">
      <formula>$G44="en cours"</formula>
    </cfRule>
    <cfRule type="expression" dxfId="1569" priority="37">
      <formula>$G44="non compris"</formula>
    </cfRule>
  </conditionalFormatting>
  <conditionalFormatting sqref="D30">
    <cfRule type="expression" dxfId="1568" priority="32">
      <formula>$G30="réalisé"</formula>
    </cfRule>
    <cfRule type="expression" dxfId="1567" priority="33">
      <formula>$G30="en cours"</formula>
    </cfRule>
    <cfRule type="expression" dxfId="1566" priority="34">
      <formula>$G30="non compris"</formula>
    </cfRule>
  </conditionalFormatting>
  <conditionalFormatting sqref="D32">
    <cfRule type="expression" dxfId="1565" priority="29">
      <formula>$G32="réalisé"</formula>
    </cfRule>
    <cfRule type="expression" dxfId="1564" priority="30">
      <formula>$G32="en cours"</formula>
    </cfRule>
    <cfRule type="expression" dxfId="1563" priority="31">
      <formula>$G32="non compris"</formula>
    </cfRule>
  </conditionalFormatting>
  <conditionalFormatting sqref="D34">
    <cfRule type="expression" dxfId="1562" priority="26">
      <formula>$G34="réalisé"</formula>
    </cfRule>
    <cfRule type="expression" dxfId="1561" priority="27">
      <formula>$G34="en cours"</formula>
    </cfRule>
    <cfRule type="expression" dxfId="1560" priority="28">
      <formula>$G34="non compris"</formula>
    </cfRule>
  </conditionalFormatting>
  <conditionalFormatting sqref="D36">
    <cfRule type="expression" dxfId="1559" priority="23">
      <formula>$G36="réalisé"</formula>
    </cfRule>
    <cfRule type="expression" dxfId="1558" priority="24">
      <formula>$G36="en cours"</formula>
    </cfRule>
    <cfRule type="expression" dxfId="1557" priority="25">
      <formula>$G36="non compris"</formula>
    </cfRule>
  </conditionalFormatting>
  <conditionalFormatting sqref="D38">
    <cfRule type="expression" dxfId="1556" priority="20">
      <formula>$G38="réalisé"</formula>
    </cfRule>
    <cfRule type="expression" dxfId="1555" priority="21">
      <formula>$G38="en cours"</formula>
    </cfRule>
    <cfRule type="expression" dxfId="1554" priority="22">
      <formula>$G38="non compris"</formula>
    </cfRule>
  </conditionalFormatting>
  <conditionalFormatting sqref="D40">
    <cfRule type="expression" dxfId="1553" priority="17">
      <formula>$G40="réalisé"</formula>
    </cfRule>
    <cfRule type="expression" dxfId="1552" priority="18">
      <formula>$G40="en cours"</formula>
    </cfRule>
    <cfRule type="expression" dxfId="1551" priority="19">
      <formula>$G40="non compris"</formula>
    </cfRule>
  </conditionalFormatting>
  <conditionalFormatting sqref="D42:D43">
    <cfRule type="expression" dxfId="1550" priority="14">
      <formula>$G42="réalisé"</formula>
    </cfRule>
    <cfRule type="expression" dxfId="1549" priority="15">
      <formula>$G42="en cours"</formula>
    </cfRule>
    <cfRule type="expression" dxfId="1548" priority="16">
      <formula>$G42="non compris"</formula>
    </cfRule>
  </conditionalFormatting>
  <conditionalFormatting sqref="D50">
    <cfRule type="expression" dxfId="1547" priority="11">
      <formula>$G50="réalisé"</formula>
    </cfRule>
    <cfRule type="expression" dxfId="1546" priority="12">
      <formula>$G50="en cours"</formula>
    </cfRule>
    <cfRule type="expression" dxfId="1545" priority="13">
      <formula>$G50="non compris"</formula>
    </cfRule>
  </conditionalFormatting>
  <conditionalFormatting sqref="D49">
    <cfRule type="expression" dxfId="1544" priority="8">
      <formula>$G49="réalisé"</formula>
    </cfRule>
    <cfRule type="expression" dxfId="1543" priority="9">
      <formula>$G49="en cours"</formula>
    </cfRule>
    <cfRule type="expression" dxfId="1542" priority="10">
      <formula>$G49="non compris"</formula>
    </cfRule>
  </conditionalFormatting>
  <conditionalFormatting sqref="D48">
    <cfRule type="expression" dxfId="1541" priority="5">
      <formula>$G48="réalisé"</formula>
    </cfRule>
    <cfRule type="expression" dxfId="1540" priority="6">
      <formula>$G48="en cours"</formula>
    </cfRule>
    <cfRule type="expression" dxfId="1539" priority="7">
      <formula>$G48="non compris"</formula>
    </cfRule>
  </conditionalFormatting>
  <conditionalFormatting sqref="D51">
    <cfRule type="expression" dxfId="1538" priority="2">
      <formula>$G51="réalisé"</formula>
    </cfRule>
    <cfRule type="expression" dxfId="1537" priority="3">
      <formula>$G51="en cours"</formula>
    </cfRule>
    <cfRule type="expression" dxfId="1536" priority="4">
      <formula>$G51="non compris"</formula>
    </cfRule>
  </conditionalFormatting>
  <conditionalFormatting sqref="D8:D26">
    <cfRule type="expression" dxfId="1535" priority="1">
      <formula>$D$8="NON CONCERNÉ"</formula>
    </cfRule>
  </conditionalFormatting>
  <dataValidations count="4">
    <dataValidation type="list" allowBlank="1" showInputMessage="1" showErrorMessage="1" sqref="F52">
      <formula1>$L$8:$L$15</formula1>
    </dataValidation>
    <dataValidation type="list" showInputMessage="1" showErrorMessage="1" sqref="D48:D51 D29:D45 D8:D26">
      <formula1>Entreprises</formula1>
    </dataValidation>
    <dataValidation type="list" showInputMessage="1" showErrorMessage="1" sqref="G48:G51 G29:G45 G8:G26">
      <formula1>Avancement</formula1>
    </dataValidation>
    <dataValidation type="list" allowBlank="1" showInputMessage="1" showErrorMessage="1" sqref="C4">
      <formula1>Commercial</formula1>
    </dataValidation>
  </dataValidations>
  <printOptions verticalCentered="1"/>
  <pageMargins left="0" right="0" top="0" bottom="0" header="0.19685039370078741" footer="0.19685039370078741"/>
  <pageSetup paperSize="9" scale="82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00B050"/>
    <pageSetUpPr fitToPage="1"/>
  </sheetPr>
  <dimension ref="A1:I74"/>
  <sheetViews>
    <sheetView zoomScaleNormal="100" workbookViewId="0">
      <selection activeCell="B22" sqref="B22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7" t="s">
        <v>0</v>
      </c>
      <c r="B1" s="378"/>
      <c r="C1" s="378"/>
      <c r="D1" s="378"/>
      <c r="E1" s="378"/>
      <c r="F1" s="378"/>
      <c r="G1" s="378"/>
      <c r="H1" s="1" t="s">
        <v>1</v>
      </c>
      <c r="I1" s="3">
        <f ca="1">INT(MOD(INT((LISTE!D1-2)/7)+0.6,52+5/28))+1</f>
        <v>41</v>
      </c>
    </row>
    <row r="2" spans="1:9" x14ac:dyDescent="0.25">
      <c r="A2" s="390" t="s">
        <v>2</v>
      </c>
      <c r="B2" s="391"/>
      <c r="C2" s="70" t="str">
        <f ca="1">MID(CELL("nomfichier",A1),FIND("]",CELL("nomfichier",A1),1)+1,30)</f>
        <v>NIESS</v>
      </c>
      <c r="D2" s="4" t="s">
        <v>72</v>
      </c>
      <c r="E2" s="379">
        <v>43213</v>
      </c>
      <c r="F2" s="379"/>
      <c r="G2" s="5"/>
      <c r="H2" s="380" t="s">
        <v>143</v>
      </c>
      <c r="I2" s="381"/>
    </row>
    <row r="3" spans="1:9" ht="15.75" x14ac:dyDescent="0.25">
      <c r="A3" s="392" t="s">
        <v>106</v>
      </c>
      <c r="B3" s="384"/>
      <c r="C3" s="6" t="s">
        <v>216</v>
      </c>
      <c r="D3" s="7" t="s">
        <v>3</v>
      </c>
      <c r="E3" s="382">
        <v>43286</v>
      </c>
      <c r="F3" s="383"/>
      <c r="G3" s="8"/>
      <c r="H3" s="384" t="str">
        <f ca="1">DATEDIF(E3,TODAY(),"m")&amp;"mois"&amp;-DATEDIF(E3,TODAY(),"md")&amp;"jours"</f>
        <v>3mois-7jours</v>
      </c>
      <c r="I3" s="385"/>
    </row>
    <row r="4" spans="1:9" ht="18.75" x14ac:dyDescent="0.25">
      <c r="A4" s="69" t="s">
        <v>117</v>
      </c>
      <c r="B4" s="129"/>
      <c r="C4" s="9" t="s">
        <v>120</v>
      </c>
      <c r="D4" s="10" t="s">
        <v>4</v>
      </c>
      <c r="E4" s="386">
        <f>E3+60</f>
        <v>43346</v>
      </c>
      <c r="F4" s="386"/>
      <c r="G4" s="11"/>
      <c r="H4" s="12"/>
      <c r="I4" s="13"/>
    </row>
    <row r="5" spans="1:9" x14ac:dyDescent="0.25">
      <c r="A5" s="393" t="s">
        <v>76</v>
      </c>
      <c r="B5" s="394"/>
      <c r="C5" s="15"/>
      <c r="D5" s="16"/>
      <c r="E5" s="15"/>
      <c r="F5" s="15"/>
      <c r="G5" s="17"/>
      <c r="H5" s="18"/>
      <c r="I5" s="19"/>
    </row>
    <row r="6" spans="1:9" ht="18.75" x14ac:dyDescent="0.3">
      <c r="A6" s="395" t="s">
        <v>75</v>
      </c>
      <c r="B6" s="396"/>
      <c r="C6" s="387" t="s">
        <v>145</v>
      </c>
      <c r="D6" s="388"/>
      <c r="E6" s="388"/>
      <c r="F6" s="388"/>
      <c r="G6" s="388"/>
      <c r="H6" s="389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22"/>
      <c r="B8" s="200"/>
      <c r="C8" s="28" t="s">
        <v>124</v>
      </c>
      <c r="D8" s="52" t="s">
        <v>208</v>
      </c>
      <c r="E8" s="180">
        <v>27</v>
      </c>
      <c r="F8" s="25"/>
      <c r="G8" s="26" t="s">
        <v>36</v>
      </c>
      <c r="H8" s="27"/>
      <c r="I8" s="19"/>
    </row>
    <row r="9" spans="1:9" x14ac:dyDescent="0.25">
      <c r="A9" s="122"/>
      <c r="B9" s="130"/>
      <c r="C9" s="28" t="s">
        <v>131</v>
      </c>
      <c r="D9" s="53" t="str">
        <f>D8</f>
        <v>DANACI</v>
      </c>
      <c r="E9" s="181">
        <f>E8+1</f>
        <v>28</v>
      </c>
      <c r="F9" s="29"/>
      <c r="G9" s="30" t="s">
        <v>36</v>
      </c>
      <c r="H9" s="27"/>
      <c r="I9" s="19"/>
    </row>
    <row r="10" spans="1:9" ht="15" customHeight="1" x14ac:dyDescent="0.25">
      <c r="A10" s="131"/>
      <c r="B10" s="182"/>
      <c r="C10" s="28" t="s">
        <v>132</v>
      </c>
      <c r="D10" s="52" t="str">
        <f>D9</f>
        <v>DANACI</v>
      </c>
      <c r="E10" s="180">
        <v>31</v>
      </c>
      <c r="F10" s="31"/>
      <c r="G10" s="30" t="s">
        <v>36</v>
      </c>
      <c r="H10" s="27"/>
      <c r="I10" s="19"/>
    </row>
    <row r="11" spans="1:9" ht="15" customHeight="1" x14ac:dyDescent="0.25">
      <c r="A11" s="131"/>
      <c r="B11" s="132"/>
      <c r="C11" s="28" t="s">
        <v>133</v>
      </c>
      <c r="D11" s="54" t="str">
        <f>D8</f>
        <v>DANACI</v>
      </c>
      <c r="E11" s="180">
        <f>E10+1</f>
        <v>32</v>
      </c>
      <c r="F11" s="31"/>
      <c r="G11" s="30" t="s">
        <v>36</v>
      </c>
      <c r="H11" s="27"/>
      <c r="I11" s="19"/>
    </row>
    <row r="12" spans="1:9" ht="15" customHeight="1" x14ac:dyDescent="0.25">
      <c r="A12" s="144">
        <v>13054.22</v>
      </c>
      <c r="B12" s="143">
        <f>A12-4351.41-4351.41-4351.4</f>
        <v>0</v>
      </c>
      <c r="C12" s="28" t="s">
        <v>134</v>
      </c>
      <c r="D12" s="54" t="str">
        <f t="shared" ref="D12:D14" si="0">D9</f>
        <v>DANACI</v>
      </c>
      <c r="E12" s="180">
        <v>35</v>
      </c>
      <c r="F12" s="31"/>
      <c r="G12" s="30" t="s">
        <v>36</v>
      </c>
      <c r="H12" s="27"/>
      <c r="I12" s="19"/>
    </row>
    <row r="13" spans="1:9" ht="15" customHeight="1" x14ac:dyDescent="0.25">
      <c r="A13" s="131"/>
      <c r="B13" s="132"/>
      <c r="C13" s="28" t="s">
        <v>135</v>
      </c>
      <c r="D13" s="54" t="str">
        <f t="shared" si="0"/>
        <v>DANACI</v>
      </c>
      <c r="E13" s="180">
        <f>E12+1</f>
        <v>36</v>
      </c>
      <c r="F13" s="31"/>
      <c r="G13" s="30" t="s">
        <v>36</v>
      </c>
      <c r="H13" s="27"/>
      <c r="I13" s="19"/>
    </row>
    <row r="14" spans="1:9" ht="15" customHeight="1" x14ac:dyDescent="0.25">
      <c r="A14" s="131"/>
      <c r="B14" s="132"/>
      <c r="C14" s="28" t="s">
        <v>136</v>
      </c>
      <c r="D14" s="54" t="str">
        <f t="shared" si="0"/>
        <v>DANACI</v>
      </c>
      <c r="E14" s="180">
        <f>E13</f>
        <v>36</v>
      </c>
      <c r="F14" s="31"/>
      <c r="G14" s="30" t="s">
        <v>36</v>
      </c>
      <c r="H14" s="27"/>
      <c r="I14" s="19"/>
    </row>
    <row r="15" spans="1:9" x14ac:dyDescent="0.25">
      <c r="A15" s="131"/>
      <c r="B15" s="132"/>
      <c r="C15" s="28" t="s">
        <v>62</v>
      </c>
      <c r="D15" s="53" t="s">
        <v>64</v>
      </c>
      <c r="E15" s="24">
        <f>E10+4</f>
        <v>35</v>
      </c>
      <c r="F15" s="29"/>
      <c r="G15" s="30" t="s">
        <v>70</v>
      </c>
      <c r="H15" s="27"/>
      <c r="I15" s="19"/>
    </row>
    <row r="16" spans="1:9" x14ac:dyDescent="0.25">
      <c r="A16" s="131"/>
      <c r="B16" s="132"/>
      <c r="C16" s="28" t="s">
        <v>10</v>
      </c>
      <c r="D16" s="52" t="s">
        <v>64</v>
      </c>
      <c r="E16" s="24">
        <f>E10+1</f>
        <v>32</v>
      </c>
      <c r="F16" s="29"/>
      <c r="G16" s="30" t="s">
        <v>70</v>
      </c>
      <c r="H16" s="27"/>
      <c r="I16" s="19"/>
    </row>
    <row r="17" spans="1:9" x14ac:dyDescent="0.25">
      <c r="A17" s="131"/>
      <c r="B17" s="132"/>
      <c r="C17" s="28" t="s">
        <v>11</v>
      </c>
      <c r="D17" s="53" t="s">
        <v>208</v>
      </c>
      <c r="E17" s="24">
        <f>E16+1</f>
        <v>33</v>
      </c>
      <c r="F17" s="29"/>
      <c r="G17" s="30" t="s">
        <v>36</v>
      </c>
      <c r="H17" s="27"/>
      <c r="I17" s="19"/>
    </row>
    <row r="18" spans="1:9" x14ac:dyDescent="0.25">
      <c r="A18" s="144">
        <v>1168.6300000000001</v>
      </c>
      <c r="B18" s="143">
        <f>A18-1168.63</f>
        <v>0</v>
      </c>
      <c r="C18" s="28" t="s">
        <v>12</v>
      </c>
      <c r="D18" s="52" t="s">
        <v>41</v>
      </c>
      <c r="E18" s="180">
        <v>39</v>
      </c>
      <c r="F18" s="29"/>
      <c r="G18" s="30" t="s">
        <v>36</v>
      </c>
      <c r="H18" s="27"/>
      <c r="I18" s="19"/>
    </row>
    <row r="19" spans="1:9" x14ac:dyDescent="0.25">
      <c r="A19" s="131"/>
      <c r="B19" s="132"/>
      <c r="C19" s="28" t="s">
        <v>73</v>
      </c>
      <c r="D19" s="53" t="str">
        <f>D10</f>
        <v>DANACI</v>
      </c>
      <c r="E19" s="24">
        <f>IF(E18="","",MOD(E18+1,52))</f>
        <v>40</v>
      </c>
      <c r="F19" s="29"/>
      <c r="G19" s="30" t="s">
        <v>36</v>
      </c>
      <c r="H19" s="27"/>
      <c r="I19" s="19"/>
    </row>
    <row r="20" spans="1:9" x14ac:dyDescent="0.25">
      <c r="A20" s="149">
        <v>1227.4100000000001</v>
      </c>
      <c r="B20" s="143">
        <f>A20-1227.41</f>
        <v>0</v>
      </c>
      <c r="C20" s="28" t="s">
        <v>59</v>
      </c>
      <c r="D20" s="52" t="s">
        <v>41</v>
      </c>
      <c r="E20" s="24">
        <f>IF(E19="","",MOD(E19+1,52))</f>
        <v>41</v>
      </c>
      <c r="F20" s="29"/>
      <c r="G20" s="30" t="s">
        <v>36</v>
      </c>
      <c r="H20" s="27"/>
      <c r="I20" s="19"/>
    </row>
    <row r="21" spans="1:9" x14ac:dyDescent="0.25">
      <c r="A21" s="149">
        <v>1309.26</v>
      </c>
      <c r="B21" s="143">
        <f>A21-1309.26</f>
        <v>0</v>
      </c>
      <c r="C21" s="28" t="s">
        <v>60</v>
      </c>
      <c r="D21" s="54" t="s">
        <v>44</v>
      </c>
      <c r="E21" s="24">
        <f>E20</f>
        <v>41</v>
      </c>
      <c r="F21" s="29"/>
      <c r="G21" s="30" t="s">
        <v>36</v>
      </c>
      <c r="H21" s="50"/>
      <c r="I21" s="19"/>
    </row>
    <row r="22" spans="1:9" x14ac:dyDescent="0.25">
      <c r="A22" s="131"/>
      <c r="B22" s="132"/>
      <c r="C22" s="167" t="s">
        <v>13</v>
      </c>
      <c r="D22" s="168" t="s">
        <v>44</v>
      </c>
      <c r="E22" s="169">
        <f>E20</f>
        <v>41</v>
      </c>
      <c r="F22" s="170"/>
      <c r="G22" s="171" t="s">
        <v>36</v>
      </c>
      <c r="H22" s="172"/>
      <c r="I22" s="19"/>
    </row>
    <row r="23" spans="1:9" x14ac:dyDescent="0.25">
      <c r="A23" s="143"/>
      <c r="B23" s="143">
        <f>A23</f>
        <v>0</v>
      </c>
      <c r="C23" s="32" t="s">
        <v>138</v>
      </c>
      <c r="D23" s="52" t="s">
        <v>64</v>
      </c>
      <c r="E23" s="24">
        <f>IF(E20="","",MOD(E20+2,52))</f>
        <v>43</v>
      </c>
      <c r="F23" s="29"/>
      <c r="G23" s="30" t="s">
        <v>70</v>
      </c>
      <c r="H23" s="27"/>
      <c r="I23" s="19"/>
    </row>
    <row r="24" spans="1:9" x14ac:dyDescent="0.25">
      <c r="A24" s="131"/>
      <c r="B24" s="132"/>
      <c r="C24" s="28" t="s">
        <v>14</v>
      </c>
      <c r="D24" s="53" t="str">
        <f>D17</f>
        <v>DANACI</v>
      </c>
      <c r="E24" s="24">
        <f>IF(E20="","",MOD(E20+2,52))</f>
        <v>43</v>
      </c>
      <c r="F24" s="29"/>
      <c r="G24" s="30" t="s">
        <v>36</v>
      </c>
      <c r="H24" s="27"/>
      <c r="I24" s="19"/>
    </row>
    <row r="25" spans="1:9" x14ac:dyDescent="0.25">
      <c r="A25" s="256"/>
      <c r="B25" s="143">
        <f>A25</f>
        <v>0</v>
      </c>
      <c r="C25" s="183" t="s">
        <v>137</v>
      </c>
      <c r="D25" s="53" t="s">
        <v>64</v>
      </c>
      <c r="E25" s="24">
        <f>E23</f>
        <v>43</v>
      </c>
      <c r="F25" s="29"/>
      <c r="G25" s="72" t="s">
        <v>70</v>
      </c>
      <c r="H25" s="27"/>
      <c r="I25" s="19"/>
    </row>
    <row r="26" spans="1:9" x14ac:dyDescent="0.25">
      <c r="A26" s="131"/>
      <c r="B26" s="132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145"/>
      <c r="B27" s="146"/>
      <c r="C27" s="387" t="s">
        <v>144</v>
      </c>
      <c r="D27" s="388"/>
      <c r="E27" s="388"/>
      <c r="F27" s="388"/>
      <c r="G27" s="388"/>
      <c r="H27" s="389"/>
      <c r="I27" s="19"/>
    </row>
    <row r="28" spans="1:9" ht="15.75" thickBot="1" x14ac:dyDescent="0.3">
      <c r="A28" s="131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44">
        <v>1530.73</v>
      </c>
      <c r="B29" s="143">
        <f>A29</f>
        <v>1530.73</v>
      </c>
      <c r="C29" s="78" t="s">
        <v>66</v>
      </c>
      <c r="D29" s="52" t="s">
        <v>49</v>
      </c>
      <c r="E29" s="79">
        <f>IF(E24="","",MOD(E24+1,52))</f>
        <v>44</v>
      </c>
      <c r="F29" s="25"/>
      <c r="G29" s="26" t="s">
        <v>9</v>
      </c>
      <c r="H29" s="27"/>
      <c r="I29" s="19"/>
    </row>
    <row r="30" spans="1:9" x14ac:dyDescent="0.25">
      <c r="A30" s="144">
        <v>2397.12</v>
      </c>
      <c r="B30" s="143">
        <f>A30</f>
        <v>2397.12</v>
      </c>
      <c r="C30" s="28" t="s">
        <v>67</v>
      </c>
      <c r="D30" s="53" t="s">
        <v>47</v>
      </c>
      <c r="E30" s="24">
        <f>IF(E29="","",MOD(E29+1,52))</f>
        <v>45</v>
      </c>
      <c r="F30" s="29"/>
      <c r="G30" s="30"/>
      <c r="H30" s="27"/>
      <c r="I30" s="19"/>
    </row>
    <row r="31" spans="1:9" x14ac:dyDescent="0.25">
      <c r="A31" s="131"/>
      <c r="B31" s="132"/>
      <c r="C31" s="62" t="s">
        <v>16</v>
      </c>
      <c r="D31" s="52" t="str">
        <f>D29</f>
        <v>BENELEC</v>
      </c>
      <c r="E31" s="24">
        <f>IF(E30="","",MOD(E30+2,52))</f>
        <v>47</v>
      </c>
      <c r="F31" s="29"/>
      <c r="G31" s="30"/>
      <c r="H31" s="27"/>
      <c r="I31" s="19"/>
    </row>
    <row r="32" spans="1:9" x14ac:dyDescent="0.25">
      <c r="A32" s="144">
        <v>1111.76</v>
      </c>
      <c r="B32" s="143">
        <f>A32</f>
        <v>1111.76</v>
      </c>
      <c r="C32" s="80" t="s">
        <v>17</v>
      </c>
      <c r="D32" s="53" t="s">
        <v>128</v>
      </c>
      <c r="E32" s="24">
        <f>IF(E30="","",MOD(E30+2,52))</f>
        <v>47</v>
      </c>
      <c r="F32" s="29"/>
      <c r="G32" s="30"/>
      <c r="H32" s="27"/>
      <c r="I32" s="19"/>
    </row>
    <row r="33" spans="1:9" x14ac:dyDescent="0.25">
      <c r="A33" s="143"/>
      <c r="B33" s="143"/>
      <c r="C33" s="62" t="s">
        <v>140</v>
      </c>
      <c r="D33" s="52" t="s">
        <v>167</v>
      </c>
      <c r="E33" s="24">
        <f>IF(E32="","",MOD(E32+1,52))</f>
        <v>48</v>
      </c>
      <c r="F33" s="29"/>
      <c r="G33" s="30"/>
      <c r="H33" s="27"/>
      <c r="I33" s="19"/>
    </row>
    <row r="34" spans="1:9" x14ac:dyDescent="0.25">
      <c r="A34" s="143"/>
      <c r="B34" s="143">
        <f>A34</f>
        <v>0</v>
      </c>
      <c r="C34" s="28" t="s">
        <v>141</v>
      </c>
      <c r="D34" s="53" t="s">
        <v>167</v>
      </c>
      <c r="E34" s="24">
        <f>IF(E32="","",MOD(E32+1,52))</f>
        <v>48</v>
      </c>
      <c r="F34" s="29"/>
      <c r="G34" s="30"/>
      <c r="H34" s="27"/>
      <c r="I34" s="19"/>
    </row>
    <row r="35" spans="1:9" x14ac:dyDescent="0.25">
      <c r="A35" s="131"/>
      <c r="B35" s="13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256"/>
      <c r="B36" s="143">
        <f>A36</f>
        <v>0</v>
      </c>
      <c r="C36" s="28" t="s">
        <v>19</v>
      </c>
      <c r="D36" s="53" t="s">
        <v>52</v>
      </c>
      <c r="E36" s="24">
        <f>IF(E34="","",MOD(E34+1,52))</f>
        <v>49</v>
      </c>
      <c r="F36" s="29"/>
      <c r="G36" s="30"/>
      <c r="H36" s="27"/>
      <c r="I36" s="19"/>
    </row>
    <row r="37" spans="1:9" x14ac:dyDescent="0.25">
      <c r="A37" s="131"/>
      <c r="B37" s="132"/>
      <c r="C37" s="28" t="s">
        <v>20</v>
      </c>
      <c r="D37" s="52" t="str">
        <f>D30</f>
        <v>SOARES</v>
      </c>
      <c r="E37" s="24">
        <f>IF(E36="","",MOD(E36+1,52))</f>
        <v>50</v>
      </c>
      <c r="F37" s="29"/>
      <c r="G37" s="30"/>
      <c r="H37" s="27"/>
      <c r="I37" s="19"/>
    </row>
    <row r="38" spans="1:9" x14ac:dyDescent="0.25">
      <c r="A38" s="131"/>
      <c r="B38" s="132"/>
      <c r="C38" s="28" t="s">
        <v>21</v>
      </c>
      <c r="D38" s="53" t="str">
        <f>D29</f>
        <v>BENELEC</v>
      </c>
      <c r="E38" s="24">
        <f>IF(E37="","",MOD(E37+1,52))</f>
        <v>51</v>
      </c>
      <c r="F38" s="29"/>
      <c r="G38" s="30" t="s">
        <v>9</v>
      </c>
      <c r="H38" s="27"/>
      <c r="I38" s="19"/>
    </row>
    <row r="39" spans="1:9" x14ac:dyDescent="0.25">
      <c r="A39" s="131"/>
      <c r="B39" s="132"/>
      <c r="C39" s="28" t="s">
        <v>22</v>
      </c>
      <c r="D39" s="52" t="str">
        <f>D32</f>
        <v>MEYER</v>
      </c>
      <c r="E39" s="24">
        <f>IF(E37="","",MOD(E37+1,52))</f>
        <v>51</v>
      </c>
      <c r="F39" s="29"/>
      <c r="G39" s="30"/>
      <c r="H39" s="27"/>
      <c r="I39" s="19"/>
    </row>
    <row r="40" spans="1:9" x14ac:dyDescent="0.25">
      <c r="A40" s="131"/>
      <c r="B40" s="132"/>
      <c r="C40" s="28" t="s">
        <v>23</v>
      </c>
      <c r="D40" s="53" t="s">
        <v>64</v>
      </c>
      <c r="E40" s="24">
        <f>E36+4</f>
        <v>53</v>
      </c>
      <c r="F40" s="29"/>
      <c r="G40" s="30" t="s">
        <v>70</v>
      </c>
      <c r="H40" s="27"/>
      <c r="I40" s="19"/>
    </row>
    <row r="41" spans="1:9" x14ac:dyDescent="0.25">
      <c r="A41" s="131"/>
      <c r="B41" s="132"/>
      <c r="C41" s="28" t="s">
        <v>24</v>
      </c>
      <c r="D41" s="52" t="s">
        <v>64</v>
      </c>
      <c r="E41" s="24">
        <f>E39+1</f>
        <v>52</v>
      </c>
      <c r="F41" s="29"/>
      <c r="G41" s="30" t="s">
        <v>70</v>
      </c>
      <c r="H41" s="27"/>
      <c r="I41" s="19"/>
    </row>
    <row r="42" spans="1:9" x14ac:dyDescent="0.25">
      <c r="A42" s="131"/>
      <c r="B42" s="132"/>
      <c r="C42" s="28" t="s">
        <v>25</v>
      </c>
      <c r="D42" s="53" t="str">
        <f>D34</f>
        <v>OTEC</v>
      </c>
      <c r="E42" s="24">
        <v>1</v>
      </c>
      <c r="F42" s="29"/>
      <c r="G42" s="30"/>
      <c r="H42" s="27"/>
      <c r="I42" s="19"/>
    </row>
    <row r="43" spans="1:9" x14ac:dyDescent="0.25">
      <c r="A43" s="143"/>
      <c r="B43" s="143">
        <f>A43</f>
        <v>0</v>
      </c>
      <c r="C43" s="81" t="s">
        <v>147</v>
      </c>
      <c r="D43" s="52" t="s">
        <v>64</v>
      </c>
      <c r="E43" s="82">
        <f>E44</f>
        <v>2</v>
      </c>
      <c r="F43" s="83"/>
      <c r="G43" s="72" t="s">
        <v>70</v>
      </c>
      <c r="H43" s="27"/>
      <c r="I43" s="19"/>
    </row>
    <row r="44" spans="1:9" x14ac:dyDescent="0.25">
      <c r="A44" s="256"/>
      <c r="B44" s="143">
        <f>A44</f>
        <v>0</v>
      </c>
      <c r="C44" s="81" t="s">
        <v>139</v>
      </c>
      <c r="D44" s="193" t="s">
        <v>54</v>
      </c>
      <c r="E44" s="82">
        <v>2</v>
      </c>
      <c r="F44" s="83"/>
      <c r="G44" s="72"/>
      <c r="H44" s="194"/>
      <c r="I44" s="19"/>
    </row>
    <row r="45" spans="1:9" x14ac:dyDescent="0.25">
      <c r="A45" s="131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145"/>
      <c r="B46" s="146"/>
      <c r="C46" s="387" t="s">
        <v>146</v>
      </c>
      <c r="D46" s="388"/>
      <c r="E46" s="388"/>
      <c r="F46" s="388"/>
      <c r="G46" s="388"/>
      <c r="H46" s="389"/>
      <c r="I46" s="19"/>
    </row>
    <row r="47" spans="1:9" ht="15.75" thickBot="1" x14ac:dyDescent="0.3">
      <c r="A47" s="131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256"/>
      <c r="B48" s="143">
        <f>A48</f>
        <v>0</v>
      </c>
      <c r="C48" s="88" t="s">
        <v>26</v>
      </c>
      <c r="D48" s="52" t="s">
        <v>57</v>
      </c>
      <c r="E48" s="89">
        <f>E32+1</f>
        <v>48</v>
      </c>
      <c r="F48" s="25"/>
      <c r="G48" s="26"/>
      <c r="H48" s="27"/>
      <c r="I48" s="19"/>
    </row>
    <row r="49" spans="1:9" x14ac:dyDescent="0.25">
      <c r="A49" s="133"/>
      <c r="B49" s="173"/>
      <c r="C49" s="102" t="s">
        <v>69</v>
      </c>
      <c r="D49" s="103" t="s">
        <v>64</v>
      </c>
      <c r="E49" s="104">
        <f>E48</f>
        <v>48</v>
      </c>
      <c r="F49" s="105"/>
      <c r="G49" s="106" t="s">
        <v>70</v>
      </c>
      <c r="H49" s="27"/>
      <c r="I49" s="19"/>
    </row>
    <row r="50" spans="1:9" x14ac:dyDescent="0.25">
      <c r="A50" s="133">
        <f>SUM(A12:A49)</f>
        <v>21799.129999999994</v>
      </c>
      <c r="B50" s="133">
        <f>SUM(B12:B49)</f>
        <v>5039.6099999999997</v>
      </c>
      <c r="C50" s="92" t="s">
        <v>61</v>
      </c>
      <c r="D50" s="99" t="s">
        <v>68</v>
      </c>
      <c r="E50" s="101">
        <f>E48+1</f>
        <v>49</v>
      </c>
      <c r="F50" s="95"/>
      <c r="G50" s="96" t="s">
        <v>9</v>
      </c>
      <c r="H50" s="97"/>
      <c r="I50" s="19"/>
    </row>
    <row r="51" spans="1:9" x14ac:dyDescent="0.25">
      <c r="A51" s="133"/>
      <c r="B51" s="173"/>
      <c r="C51" s="91" t="s">
        <v>27</v>
      </c>
      <c r="D51" s="52" t="s">
        <v>64</v>
      </c>
      <c r="E51" s="90">
        <f>E48+3</f>
        <v>51</v>
      </c>
      <c r="F51" s="29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7" t="s">
        <v>142</v>
      </c>
      <c r="I54" s="19"/>
    </row>
    <row r="55" spans="1:9" x14ac:dyDescent="0.25">
      <c r="A55" s="42"/>
      <c r="B55" s="126"/>
      <c r="C55" s="43" t="s">
        <v>122</v>
      </c>
      <c r="D55" s="107">
        <v>43224</v>
      </c>
      <c r="E55" s="44"/>
      <c r="F55" s="45" t="s">
        <v>109</v>
      </c>
      <c r="G55" s="18"/>
      <c r="H55" s="398"/>
      <c r="I55" s="19"/>
    </row>
    <row r="56" spans="1:9" x14ac:dyDescent="0.25">
      <c r="A56" s="42"/>
      <c r="B56" s="126"/>
      <c r="C56" s="33" t="s">
        <v>123</v>
      </c>
      <c r="D56" s="49">
        <v>43263</v>
      </c>
      <c r="E56" s="46"/>
      <c r="F56" s="2" t="s">
        <v>109</v>
      </c>
      <c r="G56" s="18"/>
      <c r="H56" s="399" t="e">
        <f>DATEDIF(E3,D58,"m")&amp;"mois"&amp;DATEDIF(E3,D58,"md")&amp;"jours"</f>
        <v>#NUM!</v>
      </c>
      <c r="I56" s="19"/>
    </row>
    <row r="57" spans="1:9" ht="15.75" thickBot="1" x14ac:dyDescent="0.3">
      <c r="A57" s="42"/>
      <c r="B57" s="126"/>
      <c r="C57" s="33" t="s">
        <v>31</v>
      </c>
      <c r="D57" s="176"/>
      <c r="E57" s="46"/>
      <c r="F57" s="2"/>
      <c r="G57" s="18"/>
      <c r="H57" s="400"/>
      <c r="I57" s="19"/>
    </row>
    <row r="58" spans="1:9" x14ac:dyDescent="0.25">
      <c r="A58" s="42"/>
      <c r="B58" s="126"/>
      <c r="C58" s="47" t="s">
        <v>32</v>
      </c>
      <c r="D58" s="184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1"/>
      <c r="D60" s="371"/>
      <c r="E60" s="371"/>
      <c r="F60" s="371"/>
      <c r="G60" s="371"/>
      <c r="H60" s="371"/>
      <c r="I60" s="372"/>
    </row>
    <row r="61" spans="1:9" x14ac:dyDescent="0.25">
      <c r="A61" s="34"/>
      <c r="B61" s="18"/>
      <c r="C61" s="373"/>
      <c r="D61" s="373"/>
      <c r="E61" s="373"/>
      <c r="F61" s="373"/>
      <c r="G61" s="373"/>
      <c r="H61" s="373"/>
      <c r="I61" s="374"/>
    </row>
    <row r="62" spans="1:9" x14ac:dyDescent="0.25">
      <c r="A62" s="34"/>
      <c r="B62" s="18"/>
      <c r="C62" s="373"/>
      <c r="D62" s="373"/>
      <c r="E62" s="373"/>
      <c r="F62" s="373"/>
      <c r="G62" s="373"/>
      <c r="H62" s="373"/>
      <c r="I62" s="374"/>
    </row>
    <row r="63" spans="1:9" x14ac:dyDescent="0.25">
      <c r="A63" s="34"/>
      <c r="B63" s="18"/>
      <c r="C63" s="373"/>
      <c r="D63" s="373"/>
      <c r="E63" s="373"/>
      <c r="F63" s="373"/>
      <c r="G63" s="373"/>
      <c r="H63" s="373"/>
      <c r="I63" s="374"/>
    </row>
    <row r="64" spans="1:9" x14ac:dyDescent="0.25">
      <c r="A64" s="34"/>
      <c r="B64" s="18"/>
      <c r="C64" s="373"/>
      <c r="D64" s="373"/>
      <c r="E64" s="373"/>
      <c r="F64" s="373"/>
      <c r="G64" s="373"/>
      <c r="H64" s="373"/>
      <c r="I64" s="374"/>
    </row>
    <row r="65" spans="1:9" x14ac:dyDescent="0.25">
      <c r="A65" s="44"/>
      <c r="B65" s="45"/>
      <c r="C65" s="375"/>
      <c r="D65" s="375"/>
      <c r="E65" s="375"/>
      <c r="F65" s="375"/>
      <c r="G65" s="375"/>
      <c r="H65" s="375"/>
      <c r="I65" s="376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H54:H55"/>
    <mergeCell ref="H56:H57"/>
    <mergeCell ref="C60:I65"/>
    <mergeCell ref="E4:F4"/>
    <mergeCell ref="A5:B5"/>
    <mergeCell ref="A6:B6"/>
    <mergeCell ref="C6:H6"/>
    <mergeCell ref="C27:H27"/>
    <mergeCell ref="C46:H46"/>
    <mergeCell ref="A1:G1"/>
    <mergeCell ref="A2:B2"/>
    <mergeCell ref="E2:F2"/>
    <mergeCell ref="H2:I2"/>
    <mergeCell ref="A3:B3"/>
    <mergeCell ref="E3:F3"/>
    <mergeCell ref="H3:I3"/>
  </mergeCells>
  <conditionalFormatting sqref="C52:G52">
    <cfRule type="expression" dxfId="1492" priority="70">
      <formula>$F52="réalisé"</formula>
    </cfRule>
  </conditionalFormatting>
  <conditionalFormatting sqref="C48:C51 E48:H51 E29:H45 C8:H26">
    <cfRule type="expression" dxfId="1491" priority="67">
      <formula>$G8="réalisé"</formula>
    </cfRule>
    <cfRule type="expression" dxfId="1490" priority="68">
      <formula>$G8="en cours"</formula>
    </cfRule>
    <cfRule type="expression" dxfId="1489" priority="69">
      <formula>$G8="non compris"</formula>
    </cfRule>
  </conditionalFormatting>
  <conditionalFormatting sqref="C29:C45">
    <cfRule type="expression" dxfId="1488" priority="64">
      <formula>$G29="réalisé"</formula>
    </cfRule>
    <cfRule type="expression" dxfId="1487" priority="65">
      <formula>$G29="en cours"</formula>
    </cfRule>
    <cfRule type="expression" dxfId="1486" priority="66">
      <formula>$G29="non compris"</formula>
    </cfRule>
  </conditionalFormatting>
  <conditionalFormatting sqref="C55:F58">
    <cfRule type="expression" dxfId="1485" priority="63">
      <formula>$F55="réalisé"</formula>
    </cfRule>
  </conditionalFormatting>
  <conditionalFormatting sqref="G9">
    <cfRule type="expression" dxfId="1484" priority="62">
      <formula>$G$10="réalisé"</formula>
    </cfRule>
  </conditionalFormatting>
  <conditionalFormatting sqref="G10:G14">
    <cfRule type="expression" dxfId="1483" priority="61">
      <formula>$G$15="réalisé"</formula>
    </cfRule>
  </conditionalFormatting>
  <conditionalFormatting sqref="G20:G21">
    <cfRule type="expression" dxfId="1482" priority="60">
      <formula>$G$22="réalisé"</formula>
    </cfRule>
  </conditionalFormatting>
  <conditionalFormatting sqref="G30">
    <cfRule type="expression" dxfId="1481" priority="59">
      <formula>$G$31="réalisé"</formula>
    </cfRule>
  </conditionalFormatting>
  <conditionalFormatting sqref="D29">
    <cfRule type="expression" dxfId="1480" priority="56">
      <formula>$G29="réalisé"</formula>
    </cfRule>
    <cfRule type="expression" dxfId="1479" priority="57">
      <formula>$G29="en cours"</formula>
    </cfRule>
    <cfRule type="expression" dxfId="1478" priority="58">
      <formula>$G29="non compris"</formula>
    </cfRule>
  </conditionalFormatting>
  <conditionalFormatting sqref="D31">
    <cfRule type="expression" dxfId="1477" priority="53">
      <formula>$G31="réalisé"</formula>
    </cfRule>
    <cfRule type="expression" dxfId="1476" priority="54">
      <formula>$G31="en cours"</formula>
    </cfRule>
    <cfRule type="expression" dxfId="1475" priority="55">
      <formula>$G31="non compris"</formula>
    </cfRule>
  </conditionalFormatting>
  <conditionalFormatting sqref="D33">
    <cfRule type="expression" dxfId="1474" priority="50">
      <formula>$G33="réalisé"</formula>
    </cfRule>
    <cfRule type="expression" dxfId="1473" priority="51">
      <formula>$G33="en cours"</formula>
    </cfRule>
    <cfRule type="expression" dxfId="1472" priority="52">
      <formula>$G33="non compris"</formula>
    </cfRule>
  </conditionalFormatting>
  <conditionalFormatting sqref="D35">
    <cfRule type="expression" dxfId="1471" priority="47">
      <formula>$G35="réalisé"</formula>
    </cfRule>
    <cfRule type="expression" dxfId="1470" priority="48">
      <formula>$G35="en cours"</formula>
    </cfRule>
    <cfRule type="expression" dxfId="1469" priority="49">
      <formula>$G35="non compris"</formula>
    </cfRule>
  </conditionalFormatting>
  <conditionalFormatting sqref="D37">
    <cfRule type="expression" dxfId="1468" priority="44">
      <formula>$G37="réalisé"</formula>
    </cfRule>
    <cfRule type="expression" dxfId="1467" priority="45">
      <formula>$G37="en cours"</formula>
    </cfRule>
    <cfRule type="expression" dxfId="1466" priority="46">
      <formula>$G37="non compris"</formula>
    </cfRule>
  </conditionalFormatting>
  <conditionalFormatting sqref="D39">
    <cfRule type="expression" dxfId="1465" priority="41">
      <formula>$G39="réalisé"</formula>
    </cfRule>
    <cfRule type="expression" dxfId="1464" priority="42">
      <formula>$G39="en cours"</formula>
    </cfRule>
    <cfRule type="expression" dxfId="1463" priority="43">
      <formula>$G39="non compris"</formula>
    </cfRule>
  </conditionalFormatting>
  <conditionalFormatting sqref="D41">
    <cfRule type="expression" dxfId="1462" priority="38">
      <formula>$G41="réalisé"</formula>
    </cfRule>
    <cfRule type="expression" dxfId="1461" priority="39">
      <formula>$G41="en cours"</formula>
    </cfRule>
    <cfRule type="expression" dxfId="1460" priority="40">
      <formula>$G41="non compris"</formula>
    </cfRule>
  </conditionalFormatting>
  <conditionalFormatting sqref="D44:D45">
    <cfRule type="expression" dxfId="1459" priority="35">
      <formula>$G44="réalisé"</formula>
    </cfRule>
    <cfRule type="expression" dxfId="1458" priority="36">
      <formula>$G44="en cours"</formula>
    </cfRule>
    <cfRule type="expression" dxfId="1457" priority="37">
      <formula>$G44="non compris"</formula>
    </cfRule>
  </conditionalFormatting>
  <conditionalFormatting sqref="D30">
    <cfRule type="expression" dxfId="1456" priority="32">
      <formula>$G30="réalisé"</formula>
    </cfRule>
    <cfRule type="expression" dxfId="1455" priority="33">
      <formula>$G30="en cours"</formula>
    </cfRule>
    <cfRule type="expression" dxfId="1454" priority="34">
      <formula>$G30="non compris"</formula>
    </cfRule>
  </conditionalFormatting>
  <conditionalFormatting sqref="D32">
    <cfRule type="expression" dxfId="1453" priority="29">
      <formula>$G32="réalisé"</formula>
    </cfRule>
    <cfRule type="expression" dxfId="1452" priority="30">
      <formula>$G32="en cours"</formula>
    </cfRule>
    <cfRule type="expression" dxfId="1451" priority="31">
      <formula>$G32="non compris"</formula>
    </cfRule>
  </conditionalFormatting>
  <conditionalFormatting sqref="D34">
    <cfRule type="expression" dxfId="1450" priority="26">
      <formula>$G34="réalisé"</formula>
    </cfRule>
    <cfRule type="expression" dxfId="1449" priority="27">
      <formula>$G34="en cours"</formula>
    </cfRule>
    <cfRule type="expression" dxfId="1448" priority="28">
      <formula>$G34="non compris"</formula>
    </cfRule>
  </conditionalFormatting>
  <conditionalFormatting sqref="D36">
    <cfRule type="expression" dxfId="1447" priority="23">
      <formula>$G36="réalisé"</formula>
    </cfRule>
    <cfRule type="expression" dxfId="1446" priority="24">
      <formula>$G36="en cours"</formula>
    </cfRule>
    <cfRule type="expression" dxfId="1445" priority="25">
      <formula>$G36="non compris"</formula>
    </cfRule>
  </conditionalFormatting>
  <conditionalFormatting sqref="D38">
    <cfRule type="expression" dxfId="1444" priority="20">
      <formula>$G38="réalisé"</formula>
    </cfRule>
    <cfRule type="expression" dxfId="1443" priority="21">
      <formula>$G38="en cours"</formula>
    </cfRule>
    <cfRule type="expression" dxfId="1442" priority="22">
      <formula>$G38="non compris"</formula>
    </cfRule>
  </conditionalFormatting>
  <conditionalFormatting sqref="D40">
    <cfRule type="expression" dxfId="1441" priority="17">
      <formula>$G40="réalisé"</formula>
    </cfRule>
    <cfRule type="expression" dxfId="1440" priority="18">
      <formula>$G40="en cours"</formula>
    </cfRule>
    <cfRule type="expression" dxfId="1439" priority="19">
      <formula>$G40="non compris"</formula>
    </cfRule>
  </conditionalFormatting>
  <conditionalFormatting sqref="D42:D43">
    <cfRule type="expression" dxfId="1438" priority="14">
      <formula>$G42="réalisé"</formula>
    </cfRule>
    <cfRule type="expression" dxfId="1437" priority="15">
      <formula>$G42="en cours"</formula>
    </cfRule>
    <cfRule type="expression" dxfId="1436" priority="16">
      <formula>$G42="non compris"</formula>
    </cfRule>
  </conditionalFormatting>
  <conditionalFormatting sqref="D50">
    <cfRule type="expression" dxfId="1435" priority="11">
      <formula>$G50="réalisé"</formula>
    </cfRule>
    <cfRule type="expression" dxfId="1434" priority="12">
      <formula>$G50="en cours"</formula>
    </cfRule>
    <cfRule type="expression" dxfId="1433" priority="13">
      <formula>$G50="non compris"</formula>
    </cfRule>
  </conditionalFormatting>
  <conditionalFormatting sqref="D49">
    <cfRule type="expression" dxfId="1432" priority="8">
      <formula>$G49="réalisé"</formula>
    </cfRule>
    <cfRule type="expression" dxfId="1431" priority="9">
      <formula>$G49="en cours"</formula>
    </cfRule>
    <cfRule type="expression" dxfId="1430" priority="10">
      <formula>$G49="non compris"</formula>
    </cfRule>
  </conditionalFormatting>
  <conditionalFormatting sqref="D48">
    <cfRule type="expression" dxfId="1429" priority="5">
      <formula>$G48="réalisé"</formula>
    </cfRule>
    <cfRule type="expression" dxfId="1428" priority="6">
      <formula>$G48="en cours"</formula>
    </cfRule>
    <cfRule type="expression" dxfId="1427" priority="7">
      <formula>$G48="non compris"</formula>
    </cfRule>
  </conditionalFormatting>
  <conditionalFormatting sqref="D51">
    <cfRule type="expression" dxfId="1426" priority="2">
      <formula>$G51="réalisé"</formula>
    </cfRule>
    <cfRule type="expression" dxfId="1425" priority="3">
      <formula>$G51="en cours"</formula>
    </cfRule>
    <cfRule type="expression" dxfId="1424" priority="4">
      <formula>$G51="non compris"</formula>
    </cfRule>
  </conditionalFormatting>
  <conditionalFormatting sqref="D8:D26">
    <cfRule type="expression" dxfId="1423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82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tabColor rgb="FF00B050"/>
    <pageSetUpPr fitToPage="1"/>
  </sheetPr>
  <dimension ref="A1:I74"/>
  <sheetViews>
    <sheetView topLeftCell="A13" zoomScaleNormal="100" workbookViewId="0">
      <selection activeCell="G34" sqref="G34"/>
    </sheetView>
  </sheetViews>
  <sheetFormatPr baseColWidth="10" defaultRowHeight="15" x14ac:dyDescent="0.25"/>
  <cols>
    <col min="1" max="1" width="13.140625" customWidth="1"/>
    <col min="2" max="2" width="14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7" t="s">
        <v>0</v>
      </c>
      <c r="B1" s="378"/>
      <c r="C1" s="378"/>
      <c r="D1" s="378"/>
      <c r="E1" s="378"/>
      <c r="F1" s="378"/>
      <c r="G1" s="378"/>
      <c r="H1" s="1" t="s">
        <v>1</v>
      </c>
      <c r="I1" s="3">
        <f ca="1">INT(MOD(INT((LISTE!D1-2)/7)+0.6,52+5/28))+1</f>
        <v>41</v>
      </c>
    </row>
    <row r="2" spans="1:9" x14ac:dyDescent="0.25">
      <c r="A2" s="390" t="s">
        <v>2</v>
      </c>
      <c r="B2" s="391"/>
      <c r="C2" s="70" t="str">
        <f ca="1">MID(CELL("nomfichier",A1),FIND("]",CELL("nomfichier",A1),1)+1,30)</f>
        <v>OSTERTAG-RICHERT</v>
      </c>
      <c r="D2" s="4" t="s">
        <v>72</v>
      </c>
      <c r="E2" s="379">
        <v>43003</v>
      </c>
      <c r="F2" s="379"/>
      <c r="G2" s="5"/>
      <c r="H2" s="380" t="s">
        <v>143</v>
      </c>
      <c r="I2" s="381"/>
    </row>
    <row r="3" spans="1:9" ht="15.75" x14ac:dyDescent="0.25">
      <c r="A3" s="392" t="s">
        <v>106</v>
      </c>
      <c r="B3" s="384"/>
      <c r="C3" s="6" t="s">
        <v>157</v>
      </c>
      <c r="D3" s="7" t="s">
        <v>3</v>
      </c>
      <c r="E3" s="382">
        <v>43129</v>
      </c>
      <c r="F3" s="383"/>
      <c r="G3" s="8"/>
      <c r="H3" s="384" t="str">
        <f ca="1">DATEDIF(E3,TODAY(),"m")&amp;"mois"&amp;-DATEDIF(E3,TODAY(),"md")&amp;"jours"</f>
        <v>8mois-13jours</v>
      </c>
      <c r="I3" s="385"/>
    </row>
    <row r="4" spans="1:9" ht="18.75" x14ac:dyDescent="0.25">
      <c r="A4" s="69" t="s">
        <v>117</v>
      </c>
      <c r="B4" s="129"/>
      <c r="C4" s="9" t="s">
        <v>120</v>
      </c>
      <c r="D4" s="10" t="s">
        <v>4</v>
      </c>
      <c r="E4" s="386">
        <f>E3+60</f>
        <v>43189</v>
      </c>
      <c r="F4" s="386"/>
      <c r="G4" s="11"/>
      <c r="H4" s="12"/>
      <c r="I4" s="13"/>
    </row>
    <row r="5" spans="1:9" x14ac:dyDescent="0.25">
      <c r="A5" s="393" t="s">
        <v>76</v>
      </c>
      <c r="B5" s="394"/>
      <c r="C5" s="15"/>
      <c r="D5" s="16"/>
      <c r="E5" s="15"/>
      <c r="F5" s="15"/>
      <c r="G5" s="17"/>
      <c r="H5" s="18"/>
      <c r="I5" s="19"/>
    </row>
    <row r="6" spans="1:9" ht="18.75" x14ac:dyDescent="0.3">
      <c r="A6" s="395" t="s">
        <v>75</v>
      </c>
      <c r="B6" s="396"/>
      <c r="C6" s="387" t="s">
        <v>145</v>
      </c>
      <c r="D6" s="388"/>
      <c r="E6" s="388"/>
      <c r="F6" s="388"/>
      <c r="G6" s="388"/>
      <c r="H6" s="389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303"/>
      <c r="B8" s="200"/>
      <c r="C8" s="28" t="s">
        <v>124</v>
      </c>
      <c r="D8" s="52" t="s">
        <v>38</v>
      </c>
      <c r="E8" s="180">
        <v>3</v>
      </c>
      <c r="F8" s="25"/>
      <c r="G8" s="26" t="s">
        <v>36</v>
      </c>
      <c r="H8" s="27"/>
      <c r="I8" s="19"/>
    </row>
    <row r="9" spans="1:9" x14ac:dyDescent="0.25">
      <c r="A9" s="303"/>
      <c r="B9" s="130"/>
      <c r="C9" s="28" t="s">
        <v>131</v>
      </c>
      <c r="D9" s="53" t="str">
        <f>D8</f>
        <v>TEMA</v>
      </c>
      <c r="E9" s="181">
        <v>5</v>
      </c>
      <c r="F9" s="29"/>
      <c r="G9" s="30" t="s">
        <v>36</v>
      </c>
      <c r="H9" s="27"/>
      <c r="I9" s="19"/>
    </row>
    <row r="10" spans="1:9" ht="15" customHeight="1" x14ac:dyDescent="0.25">
      <c r="A10" s="304"/>
      <c r="B10" s="182"/>
      <c r="C10" s="28" t="s">
        <v>132</v>
      </c>
      <c r="D10" s="52" t="str">
        <f>D9</f>
        <v>TEMA</v>
      </c>
      <c r="E10" s="180">
        <v>5</v>
      </c>
      <c r="F10" s="31"/>
      <c r="G10" s="30" t="s">
        <v>36</v>
      </c>
      <c r="H10" s="27"/>
      <c r="I10" s="19"/>
    </row>
    <row r="11" spans="1:9" ht="15" customHeight="1" x14ac:dyDescent="0.25">
      <c r="A11" s="304"/>
      <c r="B11" s="132"/>
      <c r="C11" s="28" t="s">
        <v>133</v>
      </c>
      <c r="D11" s="54" t="str">
        <f>D8</f>
        <v>TEMA</v>
      </c>
      <c r="E11" s="180">
        <v>5</v>
      </c>
      <c r="F11" s="31"/>
      <c r="G11" s="30" t="s">
        <v>36</v>
      </c>
      <c r="H11" s="27"/>
      <c r="I11" s="19"/>
    </row>
    <row r="12" spans="1:9" ht="15" customHeight="1" x14ac:dyDescent="0.25">
      <c r="A12" s="305">
        <v>12653.64</v>
      </c>
      <c r="B12" s="143">
        <f>A12-6326.82-4217.88-2108.94</f>
        <v>0</v>
      </c>
      <c r="C12" s="28" t="s">
        <v>134</v>
      </c>
      <c r="D12" s="54" t="str">
        <f t="shared" ref="D12:D14" si="0">D9</f>
        <v>TEMA</v>
      </c>
      <c r="E12" s="180">
        <v>8</v>
      </c>
      <c r="F12" s="31"/>
      <c r="G12" s="30" t="s">
        <v>36</v>
      </c>
      <c r="H12" s="27"/>
      <c r="I12" s="19"/>
    </row>
    <row r="13" spans="1:9" ht="15" customHeight="1" x14ac:dyDescent="0.25">
      <c r="A13" s="304"/>
      <c r="B13" s="132"/>
      <c r="C13" s="28" t="s">
        <v>135</v>
      </c>
      <c r="D13" s="54" t="str">
        <f t="shared" si="0"/>
        <v>TEMA</v>
      </c>
      <c r="E13" s="180">
        <f>E12+1</f>
        <v>9</v>
      </c>
      <c r="F13" s="31"/>
      <c r="G13" s="30" t="s">
        <v>36</v>
      </c>
      <c r="H13" s="27"/>
      <c r="I13" s="19"/>
    </row>
    <row r="14" spans="1:9" ht="15" customHeight="1" x14ac:dyDescent="0.25">
      <c r="A14" s="304"/>
      <c r="B14" s="132"/>
      <c r="C14" s="28" t="s">
        <v>136</v>
      </c>
      <c r="D14" s="54" t="str">
        <f t="shared" si="0"/>
        <v>TEMA</v>
      </c>
      <c r="E14" s="180">
        <v>36</v>
      </c>
      <c r="F14" s="31"/>
      <c r="G14" s="30" t="s">
        <v>36</v>
      </c>
      <c r="H14" s="27" t="s">
        <v>275</v>
      </c>
      <c r="I14" s="19"/>
    </row>
    <row r="15" spans="1:9" x14ac:dyDescent="0.25">
      <c r="A15" s="304"/>
      <c r="B15" s="132"/>
      <c r="C15" s="28" t="s">
        <v>62</v>
      </c>
      <c r="D15" s="53" t="s">
        <v>64</v>
      </c>
      <c r="E15" s="24">
        <f>E10+4</f>
        <v>9</v>
      </c>
      <c r="F15" s="29"/>
      <c r="G15" s="30" t="s">
        <v>70</v>
      </c>
      <c r="H15" s="27"/>
      <c r="I15" s="19"/>
    </row>
    <row r="16" spans="1:9" x14ac:dyDescent="0.25">
      <c r="A16" s="304"/>
      <c r="B16" s="132"/>
      <c r="C16" s="28" t="s">
        <v>10</v>
      </c>
      <c r="D16" s="52" t="s">
        <v>64</v>
      </c>
      <c r="E16" s="24">
        <v>11</v>
      </c>
      <c r="F16" s="29"/>
      <c r="G16" s="30" t="s">
        <v>70</v>
      </c>
      <c r="H16" s="27"/>
      <c r="I16" s="19"/>
    </row>
    <row r="17" spans="1:9" x14ac:dyDescent="0.25">
      <c r="A17" s="304"/>
      <c r="B17" s="132"/>
      <c r="C17" s="28" t="s">
        <v>11</v>
      </c>
      <c r="D17" s="53" t="s">
        <v>38</v>
      </c>
      <c r="E17" s="24">
        <v>12</v>
      </c>
      <c r="F17" s="29"/>
      <c r="G17" s="30" t="s">
        <v>36</v>
      </c>
      <c r="H17" s="27"/>
      <c r="I17" s="19"/>
    </row>
    <row r="18" spans="1:9" x14ac:dyDescent="0.25">
      <c r="A18" s="305">
        <v>497.87</v>
      </c>
      <c r="B18" s="143">
        <f>A18-497.87</f>
        <v>0</v>
      </c>
      <c r="C18" s="28" t="s">
        <v>12</v>
      </c>
      <c r="D18" s="52" t="s">
        <v>41</v>
      </c>
      <c r="E18" s="180">
        <v>12</v>
      </c>
      <c r="F18" s="29"/>
      <c r="G18" s="30" t="s">
        <v>36</v>
      </c>
      <c r="H18" s="27"/>
      <c r="I18" s="19"/>
    </row>
    <row r="19" spans="1:9" x14ac:dyDescent="0.25">
      <c r="A19" s="304"/>
      <c r="B19" s="132"/>
      <c r="C19" s="28" t="s">
        <v>73</v>
      </c>
      <c r="D19" s="53" t="str">
        <f>D10</f>
        <v>TEMA</v>
      </c>
      <c r="E19" s="24">
        <v>12</v>
      </c>
      <c r="F19" s="29"/>
      <c r="G19" s="30" t="s">
        <v>36</v>
      </c>
      <c r="H19" s="27"/>
      <c r="I19" s="19"/>
    </row>
    <row r="20" spans="1:9" x14ac:dyDescent="0.25">
      <c r="A20" s="301">
        <v>435.85</v>
      </c>
      <c r="B20" s="143">
        <f>A20-435.85</f>
        <v>0</v>
      </c>
      <c r="C20" s="28" t="s">
        <v>59</v>
      </c>
      <c r="D20" s="52" t="s">
        <v>41</v>
      </c>
      <c r="E20" s="24">
        <f>IF(E19="","",MOD(E19+1,52))</f>
        <v>13</v>
      </c>
      <c r="F20" s="29"/>
      <c r="G20" s="30" t="s">
        <v>36</v>
      </c>
      <c r="H20" s="27"/>
      <c r="I20" s="19"/>
    </row>
    <row r="21" spans="1:9" x14ac:dyDescent="0.25">
      <c r="A21" s="301">
        <v>127.43</v>
      </c>
      <c r="B21" s="143">
        <f>A21-127.43</f>
        <v>0</v>
      </c>
      <c r="C21" s="28" t="s">
        <v>60</v>
      </c>
      <c r="D21" s="54" t="s">
        <v>44</v>
      </c>
      <c r="E21" s="24">
        <f>E20</f>
        <v>13</v>
      </c>
      <c r="F21" s="29"/>
      <c r="G21" s="30" t="s">
        <v>36</v>
      </c>
      <c r="H21" s="50"/>
      <c r="I21" s="19"/>
    </row>
    <row r="22" spans="1:9" x14ac:dyDescent="0.25">
      <c r="A22" s="304"/>
      <c r="B22" s="132"/>
      <c r="C22" s="185" t="s">
        <v>13</v>
      </c>
      <c r="D22" s="186" t="s">
        <v>68</v>
      </c>
      <c r="E22" s="187">
        <f>E20</f>
        <v>13</v>
      </c>
      <c r="F22" s="188"/>
      <c r="G22" s="189" t="s">
        <v>9</v>
      </c>
      <c r="H22" s="190"/>
      <c r="I22" s="19"/>
    </row>
    <row r="23" spans="1:9" x14ac:dyDescent="0.25">
      <c r="A23" s="305">
        <v>1151.6300000000001</v>
      </c>
      <c r="B23" s="143">
        <f>A23-1151.63</f>
        <v>0</v>
      </c>
      <c r="C23" s="32" t="s">
        <v>138</v>
      </c>
      <c r="D23" s="52" t="s">
        <v>45</v>
      </c>
      <c r="E23" s="24">
        <v>16</v>
      </c>
      <c r="F23" s="29"/>
      <c r="G23" s="30" t="s">
        <v>36</v>
      </c>
      <c r="H23" s="27"/>
      <c r="I23" s="19"/>
    </row>
    <row r="24" spans="1:9" x14ac:dyDescent="0.25">
      <c r="A24" s="304"/>
      <c r="B24" s="132"/>
      <c r="C24" s="28" t="s">
        <v>14</v>
      </c>
      <c r="D24" s="53" t="str">
        <f>D17</f>
        <v>TEMA</v>
      </c>
      <c r="E24" s="24">
        <f>IF(E20="","",MOD(E20+2,52))</f>
        <v>15</v>
      </c>
      <c r="F24" s="29"/>
      <c r="G24" s="30" t="s">
        <v>36</v>
      </c>
      <c r="H24" s="27"/>
      <c r="I24" s="19"/>
    </row>
    <row r="25" spans="1:9" x14ac:dyDescent="0.25">
      <c r="A25" s="311"/>
      <c r="B25" s="143">
        <f>A25</f>
        <v>0</v>
      </c>
      <c r="C25" s="183" t="s">
        <v>137</v>
      </c>
      <c r="D25" s="53" t="s">
        <v>56</v>
      </c>
      <c r="E25" s="24">
        <v>38</v>
      </c>
      <c r="F25" s="29"/>
      <c r="G25" s="72" t="s">
        <v>36</v>
      </c>
      <c r="H25" s="27"/>
      <c r="I25" s="19"/>
    </row>
    <row r="26" spans="1:9" x14ac:dyDescent="0.25">
      <c r="A26" s="304"/>
      <c r="B26" s="132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308"/>
      <c r="B27" s="146"/>
      <c r="C27" s="387" t="s">
        <v>144</v>
      </c>
      <c r="D27" s="388"/>
      <c r="E27" s="388"/>
      <c r="F27" s="388"/>
      <c r="G27" s="388"/>
      <c r="H27" s="389"/>
      <c r="I27" s="19"/>
    </row>
    <row r="28" spans="1:9" ht="15.75" thickBot="1" x14ac:dyDescent="0.3">
      <c r="A28" s="304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305">
        <v>945.29</v>
      </c>
      <c r="B29" s="291">
        <f>A29-945.29</f>
        <v>0</v>
      </c>
      <c r="C29" s="78" t="s">
        <v>66</v>
      </c>
      <c r="D29" s="52" t="s">
        <v>49</v>
      </c>
      <c r="E29" s="79">
        <v>30</v>
      </c>
      <c r="F29" s="25"/>
      <c r="G29" s="26" t="s">
        <v>36</v>
      </c>
      <c r="H29" s="27"/>
      <c r="I29" s="19"/>
    </row>
    <row r="30" spans="1:9" x14ac:dyDescent="0.25">
      <c r="A30" s="305">
        <v>1731.49</v>
      </c>
      <c r="B30" s="291">
        <f>A30-1731.49</f>
        <v>0</v>
      </c>
      <c r="C30" s="28" t="s">
        <v>67</v>
      </c>
      <c r="D30" s="53" t="s">
        <v>47</v>
      </c>
      <c r="E30" s="24">
        <v>40</v>
      </c>
      <c r="F30" s="29"/>
      <c r="G30" s="30" t="s">
        <v>36</v>
      </c>
      <c r="H30" s="27"/>
      <c r="I30" s="19"/>
    </row>
    <row r="31" spans="1:9" x14ac:dyDescent="0.25">
      <c r="A31" s="304"/>
      <c r="B31" s="132"/>
      <c r="C31" s="62" t="s">
        <v>16</v>
      </c>
      <c r="D31" s="52" t="str">
        <f>D29</f>
        <v>BENELEC</v>
      </c>
      <c r="E31" s="24">
        <v>39</v>
      </c>
      <c r="F31" s="29"/>
      <c r="G31" s="30" t="s">
        <v>36</v>
      </c>
      <c r="H31" s="27"/>
      <c r="I31" s="19"/>
    </row>
    <row r="32" spans="1:9" x14ac:dyDescent="0.25">
      <c r="A32" s="311"/>
      <c r="B32" s="143">
        <f>A32</f>
        <v>0</v>
      </c>
      <c r="C32" s="80" t="s">
        <v>17</v>
      </c>
      <c r="D32" s="53" t="s">
        <v>128</v>
      </c>
      <c r="E32" s="24">
        <v>41</v>
      </c>
      <c r="F32" s="29"/>
      <c r="G32" s="30" t="s">
        <v>36</v>
      </c>
      <c r="H32" s="27"/>
      <c r="I32" s="19"/>
    </row>
    <row r="33" spans="1:9" x14ac:dyDescent="0.25">
      <c r="A33" s="311"/>
      <c r="B33" s="143"/>
      <c r="C33" s="62" t="s">
        <v>140</v>
      </c>
      <c r="D33" s="52" t="s">
        <v>128</v>
      </c>
      <c r="E33" s="24">
        <v>41</v>
      </c>
      <c r="F33" s="29"/>
      <c r="G33" s="30" t="s">
        <v>36</v>
      </c>
      <c r="H33" s="27"/>
      <c r="I33" s="19"/>
    </row>
    <row r="34" spans="1:9" x14ac:dyDescent="0.25">
      <c r="A34" s="311"/>
      <c r="B34" s="143">
        <f>A34</f>
        <v>0</v>
      </c>
      <c r="C34" s="28" t="s">
        <v>141</v>
      </c>
      <c r="D34" s="53" t="s">
        <v>128</v>
      </c>
      <c r="E34" s="24">
        <v>41</v>
      </c>
      <c r="F34" s="29"/>
      <c r="G34" s="30" t="s">
        <v>36</v>
      </c>
      <c r="H34" s="27"/>
      <c r="I34" s="19"/>
    </row>
    <row r="35" spans="1:9" x14ac:dyDescent="0.25">
      <c r="A35" s="310"/>
      <c r="B35" s="13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311"/>
      <c r="B36" s="143">
        <f>A36</f>
        <v>0</v>
      </c>
      <c r="C36" s="28" t="s">
        <v>19</v>
      </c>
      <c r="D36" s="53" t="s">
        <v>52</v>
      </c>
      <c r="E36" s="24">
        <f>IF(E34="","",MOD(E34+1,52))</f>
        <v>42</v>
      </c>
      <c r="F36" s="29"/>
      <c r="G36" s="30"/>
      <c r="H36" s="27"/>
      <c r="I36" s="19"/>
    </row>
    <row r="37" spans="1:9" x14ac:dyDescent="0.25">
      <c r="A37" s="310"/>
      <c r="B37" s="132"/>
      <c r="C37" s="28" t="s">
        <v>20</v>
      </c>
      <c r="D37" s="52" t="str">
        <f>D30</f>
        <v>SOARES</v>
      </c>
      <c r="E37" s="24">
        <f>IF(E36="","",MOD(E36+1,52))</f>
        <v>43</v>
      </c>
      <c r="F37" s="29"/>
      <c r="G37" s="30"/>
      <c r="H37" s="27"/>
      <c r="I37" s="19"/>
    </row>
    <row r="38" spans="1:9" x14ac:dyDescent="0.25">
      <c r="A38" s="310"/>
      <c r="B38" s="132"/>
      <c r="C38" s="28" t="s">
        <v>21</v>
      </c>
      <c r="D38" s="53" t="str">
        <f>D29</f>
        <v>BENELEC</v>
      </c>
      <c r="E38" s="24">
        <f>IF(E37="","",MOD(E37+1,52))</f>
        <v>44</v>
      </c>
      <c r="F38" s="29"/>
      <c r="G38" s="30" t="s">
        <v>9</v>
      </c>
      <c r="H38" s="27"/>
      <c r="I38" s="19"/>
    </row>
    <row r="39" spans="1:9" x14ac:dyDescent="0.25">
      <c r="A39" s="310"/>
      <c r="B39" s="132"/>
      <c r="C39" s="28" t="s">
        <v>22</v>
      </c>
      <c r="D39" s="52" t="str">
        <f>D32</f>
        <v>MEYER</v>
      </c>
      <c r="E39" s="24">
        <f>IF(E37="","",MOD(E37+1,52))</f>
        <v>44</v>
      </c>
      <c r="F39" s="29"/>
      <c r="G39" s="30"/>
      <c r="H39" s="27"/>
      <c r="I39" s="19"/>
    </row>
    <row r="40" spans="1:9" x14ac:dyDescent="0.25">
      <c r="A40" s="310"/>
      <c r="B40" s="132"/>
      <c r="C40" s="28" t="s">
        <v>23</v>
      </c>
      <c r="D40" s="53" t="s">
        <v>64</v>
      </c>
      <c r="E40" s="24">
        <f>E36+4</f>
        <v>46</v>
      </c>
      <c r="F40" s="29"/>
      <c r="G40" s="30" t="s">
        <v>70</v>
      </c>
      <c r="H40" s="27"/>
      <c r="I40" s="19"/>
    </row>
    <row r="41" spans="1:9" x14ac:dyDescent="0.25">
      <c r="A41" s="310"/>
      <c r="B41" s="132"/>
      <c r="C41" s="28" t="s">
        <v>24</v>
      </c>
      <c r="D41" s="52" t="s">
        <v>64</v>
      </c>
      <c r="E41" s="24">
        <f>E39+1</f>
        <v>45</v>
      </c>
      <c r="F41" s="29"/>
      <c r="G41" s="30" t="s">
        <v>70</v>
      </c>
      <c r="H41" s="27"/>
      <c r="I41" s="19"/>
    </row>
    <row r="42" spans="1:9" x14ac:dyDescent="0.25">
      <c r="A42" s="310"/>
      <c r="B42" s="132"/>
      <c r="C42" s="28" t="s">
        <v>25</v>
      </c>
      <c r="D42" s="53" t="str">
        <f>D34</f>
        <v>MEYER</v>
      </c>
      <c r="E42" s="24">
        <f>IF(E40="","",MOD(E40+2,52))</f>
        <v>48</v>
      </c>
      <c r="F42" s="29"/>
      <c r="G42" s="30"/>
      <c r="H42" s="27"/>
      <c r="I42" s="19"/>
    </row>
    <row r="43" spans="1:9" x14ac:dyDescent="0.25">
      <c r="A43" s="311"/>
      <c r="B43" s="143">
        <f>A43</f>
        <v>0</v>
      </c>
      <c r="C43" s="81" t="s">
        <v>147</v>
      </c>
      <c r="D43" s="52" t="s">
        <v>64</v>
      </c>
      <c r="E43" s="82">
        <f>E44</f>
        <v>48</v>
      </c>
      <c r="F43" s="83"/>
      <c r="G43" s="72" t="s">
        <v>70</v>
      </c>
      <c r="H43" s="27"/>
      <c r="I43" s="19"/>
    </row>
    <row r="44" spans="1:9" x14ac:dyDescent="0.25">
      <c r="A44" s="311"/>
      <c r="B44" s="143">
        <f>A44</f>
        <v>0</v>
      </c>
      <c r="C44" s="81" t="s">
        <v>139</v>
      </c>
      <c r="D44" s="193" t="s">
        <v>54</v>
      </c>
      <c r="E44" s="82">
        <f>IF(E40="","",MOD(E40+2,52))</f>
        <v>48</v>
      </c>
      <c r="F44" s="83"/>
      <c r="G44" s="72"/>
      <c r="H44" s="194"/>
      <c r="I44" s="19"/>
    </row>
    <row r="45" spans="1:9" x14ac:dyDescent="0.25">
      <c r="A45" s="310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312"/>
      <c r="B46" s="146"/>
      <c r="C46" s="387" t="s">
        <v>146</v>
      </c>
      <c r="D46" s="388"/>
      <c r="E46" s="388"/>
      <c r="F46" s="388"/>
      <c r="G46" s="388"/>
      <c r="H46" s="389"/>
      <c r="I46" s="19"/>
    </row>
    <row r="47" spans="1:9" ht="15.75" thickBot="1" x14ac:dyDescent="0.3">
      <c r="A47" s="310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311"/>
      <c r="B48" s="143">
        <f>A48</f>
        <v>0</v>
      </c>
      <c r="C48" s="88" t="s">
        <v>26</v>
      </c>
      <c r="D48" s="52" t="s">
        <v>65</v>
      </c>
      <c r="E48" s="89">
        <f>E32+1</f>
        <v>42</v>
      </c>
      <c r="F48" s="25"/>
      <c r="G48" s="26"/>
      <c r="H48" s="27"/>
      <c r="I48" s="19"/>
    </row>
    <row r="49" spans="1:9" x14ac:dyDescent="0.25">
      <c r="A49" s="309"/>
      <c r="B49" s="173"/>
      <c r="C49" s="102" t="s">
        <v>69</v>
      </c>
      <c r="D49" s="103" t="s">
        <v>64</v>
      </c>
      <c r="E49" s="104">
        <f>E48</f>
        <v>42</v>
      </c>
      <c r="F49" s="105"/>
      <c r="G49" s="106" t="s">
        <v>70</v>
      </c>
      <c r="H49" s="27"/>
      <c r="I49" s="19"/>
    </row>
    <row r="50" spans="1:9" x14ac:dyDescent="0.25">
      <c r="A50" s="309"/>
      <c r="B50" s="173"/>
      <c r="C50" s="92" t="s">
        <v>61</v>
      </c>
      <c r="D50" s="99" t="s">
        <v>68</v>
      </c>
      <c r="E50" s="101">
        <f>E48+1</f>
        <v>43</v>
      </c>
      <c r="F50" s="95"/>
      <c r="G50" s="96" t="s">
        <v>9</v>
      </c>
      <c r="H50" s="97"/>
      <c r="I50" s="19"/>
    </row>
    <row r="51" spans="1:9" x14ac:dyDescent="0.25">
      <c r="A51" s="309">
        <f>SUM(A8:A50)</f>
        <v>17543.200000000004</v>
      </c>
      <c r="B51" s="309">
        <f>SUM(B8:B50)</f>
        <v>0</v>
      </c>
      <c r="C51" s="91" t="s">
        <v>27</v>
      </c>
      <c r="D51" s="52" t="s">
        <v>64</v>
      </c>
      <c r="E51" s="90">
        <f>E48+3</f>
        <v>45</v>
      </c>
      <c r="F51" s="29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7" t="s">
        <v>142</v>
      </c>
      <c r="I54" s="19"/>
    </row>
    <row r="55" spans="1:9" x14ac:dyDescent="0.25">
      <c r="A55" s="42"/>
      <c r="B55" s="126"/>
      <c r="C55" s="43" t="s">
        <v>122</v>
      </c>
      <c r="D55" s="107">
        <v>42985</v>
      </c>
      <c r="E55" s="44"/>
      <c r="F55" s="45" t="s">
        <v>109</v>
      </c>
      <c r="G55" s="18"/>
      <c r="H55" s="398"/>
      <c r="I55" s="19"/>
    </row>
    <row r="56" spans="1:9" x14ac:dyDescent="0.25">
      <c r="A56" s="42"/>
      <c r="B56" s="126"/>
      <c r="C56" s="33" t="s">
        <v>123</v>
      </c>
      <c r="D56" s="49">
        <v>43068</v>
      </c>
      <c r="E56" s="46"/>
      <c r="F56" s="2" t="s">
        <v>109</v>
      </c>
      <c r="G56" s="18"/>
      <c r="H56" s="399" t="e">
        <f>DATEDIF(E3,D58,"m")&amp;"mois"&amp;DATEDIF(E3,D58,"md")&amp;"jours"</f>
        <v>#NUM!</v>
      </c>
      <c r="I56" s="19"/>
    </row>
    <row r="57" spans="1:9" ht="15.75" thickBot="1" x14ac:dyDescent="0.3">
      <c r="A57" s="42"/>
      <c r="B57" s="126"/>
      <c r="C57" s="33" t="s">
        <v>31</v>
      </c>
      <c r="D57" s="271">
        <v>43237</v>
      </c>
      <c r="E57" s="46"/>
      <c r="F57" s="2" t="s">
        <v>109</v>
      </c>
      <c r="G57" s="18"/>
      <c r="H57" s="400"/>
      <c r="I57" s="19"/>
    </row>
    <row r="58" spans="1:9" x14ac:dyDescent="0.25">
      <c r="A58" s="42"/>
      <c r="B58" s="126"/>
      <c r="C58" s="47" t="s">
        <v>32</v>
      </c>
      <c r="D58" s="184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1"/>
      <c r="D60" s="371"/>
      <c r="E60" s="371"/>
      <c r="F60" s="371"/>
      <c r="G60" s="371"/>
      <c r="H60" s="371"/>
      <c r="I60" s="372"/>
    </row>
    <row r="61" spans="1:9" x14ac:dyDescent="0.25">
      <c r="A61" s="34"/>
      <c r="B61" s="18"/>
      <c r="C61" s="373"/>
      <c r="D61" s="373"/>
      <c r="E61" s="373"/>
      <c r="F61" s="373"/>
      <c r="G61" s="373"/>
      <c r="H61" s="373"/>
      <c r="I61" s="374"/>
    </row>
    <row r="62" spans="1:9" x14ac:dyDescent="0.25">
      <c r="A62" s="34"/>
      <c r="B62" s="18"/>
      <c r="C62" s="373"/>
      <c r="D62" s="373"/>
      <c r="E62" s="373"/>
      <c r="F62" s="373"/>
      <c r="G62" s="373"/>
      <c r="H62" s="373"/>
      <c r="I62" s="374"/>
    </row>
    <row r="63" spans="1:9" x14ac:dyDescent="0.25">
      <c r="A63" s="34"/>
      <c r="B63" s="18"/>
      <c r="C63" s="373"/>
      <c r="D63" s="373"/>
      <c r="E63" s="373"/>
      <c r="F63" s="373"/>
      <c r="G63" s="373"/>
      <c r="H63" s="373"/>
      <c r="I63" s="374"/>
    </row>
    <row r="64" spans="1:9" x14ac:dyDescent="0.25">
      <c r="A64" s="34"/>
      <c r="B64" s="18"/>
      <c r="C64" s="373"/>
      <c r="D64" s="373"/>
      <c r="E64" s="373"/>
      <c r="F64" s="373"/>
      <c r="G64" s="373"/>
      <c r="H64" s="373"/>
      <c r="I64" s="374"/>
    </row>
    <row r="65" spans="1:9" x14ac:dyDescent="0.25">
      <c r="A65" s="44"/>
      <c r="B65" s="45"/>
      <c r="C65" s="375"/>
      <c r="D65" s="375"/>
      <c r="E65" s="375"/>
      <c r="F65" s="375"/>
      <c r="G65" s="375"/>
      <c r="H65" s="375"/>
      <c r="I65" s="376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A1:G1"/>
    <mergeCell ref="A2:B2"/>
    <mergeCell ref="E2:F2"/>
    <mergeCell ref="H2:I2"/>
    <mergeCell ref="A3:B3"/>
    <mergeCell ref="E3:F3"/>
    <mergeCell ref="H3:I3"/>
    <mergeCell ref="H54:H55"/>
    <mergeCell ref="H56:H57"/>
    <mergeCell ref="C60:I65"/>
    <mergeCell ref="E4:F4"/>
    <mergeCell ref="A5:B5"/>
    <mergeCell ref="A6:B6"/>
    <mergeCell ref="C6:H6"/>
    <mergeCell ref="C27:H27"/>
    <mergeCell ref="C46:H46"/>
  </mergeCells>
  <conditionalFormatting sqref="C52:G52">
    <cfRule type="expression" dxfId="1380" priority="70">
      <formula>$F52="réalisé"</formula>
    </cfRule>
  </conditionalFormatting>
  <conditionalFormatting sqref="C48:C51 E48:H51 E29:H45 C8:H26">
    <cfRule type="expression" dxfId="1379" priority="67">
      <formula>$G8="réalisé"</formula>
    </cfRule>
    <cfRule type="expression" dxfId="1378" priority="68">
      <formula>$G8="en cours"</formula>
    </cfRule>
    <cfRule type="expression" dxfId="1377" priority="69">
      <formula>$G8="non compris"</formula>
    </cfRule>
  </conditionalFormatting>
  <conditionalFormatting sqref="C29:C45">
    <cfRule type="expression" dxfId="1376" priority="64">
      <formula>$G29="réalisé"</formula>
    </cfRule>
    <cfRule type="expression" dxfId="1375" priority="65">
      <formula>$G29="en cours"</formula>
    </cfRule>
    <cfRule type="expression" dxfId="1374" priority="66">
      <formula>$G29="non compris"</formula>
    </cfRule>
  </conditionalFormatting>
  <conditionalFormatting sqref="C55:F58">
    <cfRule type="expression" dxfId="1373" priority="63">
      <formula>$F55="réalisé"</formula>
    </cfRule>
  </conditionalFormatting>
  <conditionalFormatting sqref="G9">
    <cfRule type="expression" dxfId="1372" priority="62">
      <formula>$G$10="réalisé"</formula>
    </cfRule>
  </conditionalFormatting>
  <conditionalFormatting sqref="G10:G14">
    <cfRule type="expression" dxfId="1371" priority="61">
      <formula>$G$15="réalisé"</formula>
    </cfRule>
  </conditionalFormatting>
  <conditionalFormatting sqref="G20:G21">
    <cfRule type="expression" dxfId="1370" priority="60">
      <formula>$G$22="réalisé"</formula>
    </cfRule>
  </conditionalFormatting>
  <conditionalFormatting sqref="G30">
    <cfRule type="expression" dxfId="1369" priority="59">
      <formula>$G$31="réalisé"</formula>
    </cfRule>
  </conditionalFormatting>
  <conditionalFormatting sqref="D29">
    <cfRule type="expression" dxfId="1368" priority="56">
      <formula>$G29="réalisé"</formula>
    </cfRule>
    <cfRule type="expression" dxfId="1367" priority="57">
      <formula>$G29="en cours"</formula>
    </cfRule>
    <cfRule type="expression" dxfId="1366" priority="58">
      <formula>$G29="non compris"</formula>
    </cfRule>
  </conditionalFormatting>
  <conditionalFormatting sqref="D31">
    <cfRule type="expression" dxfId="1365" priority="53">
      <formula>$G31="réalisé"</formula>
    </cfRule>
    <cfRule type="expression" dxfId="1364" priority="54">
      <formula>$G31="en cours"</formula>
    </cfRule>
    <cfRule type="expression" dxfId="1363" priority="55">
      <formula>$G31="non compris"</formula>
    </cfRule>
  </conditionalFormatting>
  <conditionalFormatting sqref="D33">
    <cfRule type="expression" dxfId="1362" priority="50">
      <formula>$G33="réalisé"</formula>
    </cfRule>
    <cfRule type="expression" dxfId="1361" priority="51">
      <formula>$G33="en cours"</formula>
    </cfRule>
    <cfRule type="expression" dxfId="1360" priority="52">
      <formula>$G33="non compris"</formula>
    </cfRule>
  </conditionalFormatting>
  <conditionalFormatting sqref="D35">
    <cfRule type="expression" dxfId="1359" priority="47">
      <formula>$G35="réalisé"</formula>
    </cfRule>
    <cfRule type="expression" dxfId="1358" priority="48">
      <formula>$G35="en cours"</formula>
    </cfRule>
    <cfRule type="expression" dxfId="1357" priority="49">
      <formula>$G35="non compris"</formula>
    </cfRule>
  </conditionalFormatting>
  <conditionalFormatting sqref="D37">
    <cfRule type="expression" dxfId="1356" priority="44">
      <formula>$G37="réalisé"</formula>
    </cfRule>
    <cfRule type="expression" dxfId="1355" priority="45">
      <formula>$G37="en cours"</formula>
    </cfRule>
    <cfRule type="expression" dxfId="1354" priority="46">
      <formula>$G37="non compris"</formula>
    </cfRule>
  </conditionalFormatting>
  <conditionalFormatting sqref="D39">
    <cfRule type="expression" dxfId="1353" priority="41">
      <formula>$G39="réalisé"</formula>
    </cfRule>
    <cfRule type="expression" dxfId="1352" priority="42">
      <formula>$G39="en cours"</formula>
    </cfRule>
    <cfRule type="expression" dxfId="1351" priority="43">
      <formula>$G39="non compris"</formula>
    </cfRule>
  </conditionalFormatting>
  <conditionalFormatting sqref="D41">
    <cfRule type="expression" dxfId="1350" priority="38">
      <formula>$G41="réalisé"</formula>
    </cfRule>
    <cfRule type="expression" dxfId="1349" priority="39">
      <formula>$G41="en cours"</formula>
    </cfRule>
    <cfRule type="expression" dxfId="1348" priority="40">
      <formula>$G41="non compris"</formula>
    </cfRule>
  </conditionalFormatting>
  <conditionalFormatting sqref="D44:D45">
    <cfRule type="expression" dxfId="1347" priority="35">
      <formula>$G44="réalisé"</formula>
    </cfRule>
    <cfRule type="expression" dxfId="1346" priority="36">
      <formula>$G44="en cours"</formula>
    </cfRule>
    <cfRule type="expression" dxfId="1345" priority="37">
      <formula>$G44="non compris"</formula>
    </cfRule>
  </conditionalFormatting>
  <conditionalFormatting sqref="D30">
    <cfRule type="expression" dxfId="1344" priority="32">
      <formula>$G30="réalisé"</formula>
    </cfRule>
    <cfRule type="expression" dxfId="1343" priority="33">
      <formula>$G30="en cours"</formula>
    </cfRule>
    <cfRule type="expression" dxfId="1342" priority="34">
      <formula>$G30="non compris"</formula>
    </cfRule>
  </conditionalFormatting>
  <conditionalFormatting sqref="D32">
    <cfRule type="expression" dxfId="1341" priority="29">
      <formula>$G32="réalisé"</formula>
    </cfRule>
    <cfRule type="expression" dxfId="1340" priority="30">
      <formula>$G32="en cours"</formula>
    </cfRule>
    <cfRule type="expression" dxfId="1339" priority="31">
      <formula>$G32="non compris"</formula>
    </cfRule>
  </conditionalFormatting>
  <conditionalFormatting sqref="D34">
    <cfRule type="expression" dxfId="1338" priority="26">
      <formula>$G34="réalisé"</formula>
    </cfRule>
    <cfRule type="expression" dxfId="1337" priority="27">
      <formula>$G34="en cours"</formula>
    </cfRule>
    <cfRule type="expression" dxfId="1336" priority="28">
      <formula>$G34="non compris"</formula>
    </cfRule>
  </conditionalFormatting>
  <conditionalFormatting sqref="D36">
    <cfRule type="expression" dxfId="1335" priority="23">
      <formula>$G36="réalisé"</formula>
    </cfRule>
    <cfRule type="expression" dxfId="1334" priority="24">
      <formula>$G36="en cours"</formula>
    </cfRule>
    <cfRule type="expression" dxfId="1333" priority="25">
      <formula>$G36="non compris"</formula>
    </cfRule>
  </conditionalFormatting>
  <conditionalFormatting sqref="D38">
    <cfRule type="expression" dxfId="1332" priority="20">
      <formula>$G38="réalisé"</formula>
    </cfRule>
    <cfRule type="expression" dxfId="1331" priority="21">
      <formula>$G38="en cours"</formula>
    </cfRule>
    <cfRule type="expression" dxfId="1330" priority="22">
      <formula>$G38="non compris"</formula>
    </cfRule>
  </conditionalFormatting>
  <conditionalFormatting sqref="D40">
    <cfRule type="expression" dxfId="1329" priority="17">
      <formula>$G40="réalisé"</formula>
    </cfRule>
    <cfRule type="expression" dxfId="1328" priority="18">
      <formula>$G40="en cours"</formula>
    </cfRule>
    <cfRule type="expression" dxfId="1327" priority="19">
      <formula>$G40="non compris"</formula>
    </cfRule>
  </conditionalFormatting>
  <conditionalFormatting sqref="D42:D43">
    <cfRule type="expression" dxfId="1326" priority="14">
      <formula>$G42="réalisé"</formula>
    </cfRule>
    <cfRule type="expression" dxfId="1325" priority="15">
      <formula>$G42="en cours"</formula>
    </cfRule>
    <cfRule type="expression" dxfId="1324" priority="16">
      <formula>$G42="non compris"</formula>
    </cfRule>
  </conditionalFormatting>
  <conditionalFormatting sqref="D50">
    <cfRule type="expression" dxfId="1323" priority="11">
      <formula>$G50="réalisé"</formula>
    </cfRule>
    <cfRule type="expression" dxfId="1322" priority="12">
      <formula>$G50="en cours"</formula>
    </cfRule>
    <cfRule type="expression" dxfId="1321" priority="13">
      <formula>$G50="non compris"</formula>
    </cfRule>
  </conditionalFormatting>
  <conditionalFormatting sqref="D49">
    <cfRule type="expression" dxfId="1320" priority="8">
      <formula>$G49="réalisé"</formula>
    </cfRule>
    <cfRule type="expression" dxfId="1319" priority="9">
      <formula>$G49="en cours"</formula>
    </cfRule>
    <cfRule type="expression" dxfId="1318" priority="10">
      <formula>$G49="non compris"</formula>
    </cfRule>
  </conditionalFormatting>
  <conditionalFormatting sqref="D48">
    <cfRule type="expression" dxfId="1317" priority="5">
      <formula>$G48="réalisé"</formula>
    </cfRule>
    <cfRule type="expression" dxfId="1316" priority="6">
      <formula>$G48="en cours"</formula>
    </cfRule>
    <cfRule type="expression" dxfId="1315" priority="7">
      <formula>$G48="non compris"</formula>
    </cfRule>
  </conditionalFormatting>
  <conditionalFormatting sqref="D51">
    <cfRule type="expression" dxfId="1314" priority="2">
      <formula>$G51="réalisé"</formula>
    </cfRule>
    <cfRule type="expression" dxfId="1313" priority="3">
      <formula>$G51="en cours"</formula>
    </cfRule>
    <cfRule type="expression" dxfId="1312" priority="4">
      <formula>$G51="non compris"</formula>
    </cfRule>
  </conditionalFormatting>
  <conditionalFormatting sqref="D8:D26">
    <cfRule type="expression" dxfId="1311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77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50"/>
    <pageSetUpPr fitToPage="1"/>
  </sheetPr>
  <dimension ref="A1:I74"/>
  <sheetViews>
    <sheetView topLeftCell="A23" zoomScaleNormal="100" workbookViewId="0">
      <selection activeCell="E25" sqref="E25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7" t="s">
        <v>0</v>
      </c>
      <c r="B1" s="378"/>
      <c r="C1" s="378"/>
      <c r="D1" s="378"/>
      <c r="E1" s="378"/>
      <c r="F1" s="378"/>
      <c r="G1" s="378"/>
      <c r="H1" s="1" t="s">
        <v>1</v>
      </c>
      <c r="I1" s="3">
        <f ca="1">INT(MOD(INT((LISTE!D1-2)/7)+0.6,52+5/28))+1</f>
        <v>41</v>
      </c>
    </row>
    <row r="2" spans="1:9" x14ac:dyDescent="0.25">
      <c r="A2" s="390" t="s">
        <v>2</v>
      </c>
      <c r="B2" s="391"/>
      <c r="C2" s="70" t="str">
        <f ca="1">MID(CELL("nomfichier",A1),FIND("]",CELL("nomfichier",A1),1)+1,30)</f>
        <v>PECHEUR - RIPOL</v>
      </c>
      <c r="D2" s="4" t="s">
        <v>72</v>
      </c>
      <c r="E2" s="379">
        <v>42955</v>
      </c>
      <c r="F2" s="379"/>
      <c r="G2" s="5"/>
      <c r="H2" s="380" t="s">
        <v>143</v>
      </c>
      <c r="I2" s="381"/>
    </row>
    <row r="3" spans="1:9" ht="15.75" x14ac:dyDescent="0.25">
      <c r="A3" s="392" t="s">
        <v>106</v>
      </c>
      <c r="B3" s="384"/>
      <c r="C3" s="6" t="s">
        <v>125</v>
      </c>
      <c r="D3" s="7" t="s">
        <v>3</v>
      </c>
      <c r="E3" s="382">
        <v>43007</v>
      </c>
      <c r="F3" s="383"/>
      <c r="G3" s="8"/>
      <c r="H3" s="384" t="str">
        <f ca="1">DATEDIF(E3,TODAY(),"m")&amp;"mois"&amp;-DATEDIF(E3,TODAY(),"md")&amp;"jours"</f>
        <v>12mois-13jours</v>
      </c>
      <c r="I3" s="385"/>
    </row>
    <row r="4" spans="1:9" ht="18.75" x14ac:dyDescent="0.25">
      <c r="A4" s="69" t="s">
        <v>117</v>
      </c>
      <c r="B4" s="129"/>
      <c r="C4" s="9" t="s">
        <v>119</v>
      </c>
      <c r="D4" s="10" t="s">
        <v>4</v>
      </c>
      <c r="E4" s="386">
        <f>E3+70</f>
        <v>43077</v>
      </c>
      <c r="F4" s="386"/>
      <c r="G4" s="11"/>
      <c r="H4" s="12"/>
      <c r="I4" s="13"/>
    </row>
    <row r="5" spans="1:9" x14ac:dyDescent="0.25">
      <c r="A5" s="393" t="s">
        <v>76</v>
      </c>
      <c r="B5" s="394"/>
      <c r="C5" s="15"/>
      <c r="D5" s="16"/>
      <c r="E5" s="15"/>
      <c r="F5" s="15"/>
      <c r="G5" s="17"/>
      <c r="H5" s="18"/>
      <c r="I5" s="19"/>
    </row>
    <row r="6" spans="1:9" ht="18.75" x14ac:dyDescent="0.3">
      <c r="A6" s="395" t="s">
        <v>75</v>
      </c>
      <c r="B6" s="396"/>
      <c r="C6" s="387" t="s">
        <v>145</v>
      </c>
      <c r="D6" s="388"/>
      <c r="E6" s="388"/>
      <c r="F6" s="388"/>
      <c r="G6" s="388"/>
      <c r="H6" s="389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22"/>
      <c r="B8" s="200"/>
      <c r="C8" s="28" t="s">
        <v>124</v>
      </c>
      <c r="D8" s="52" t="s">
        <v>38</v>
      </c>
      <c r="E8" s="180">
        <f ca="1">I1</f>
        <v>41</v>
      </c>
      <c r="F8" s="25"/>
      <c r="G8" s="26" t="s">
        <v>36</v>
      </c>
      <c r="H8" s="27"/>
      <c r="I8" s="19"/>
    </row>
    <row r="9" spans="1:9" x14ac:dyDescent="0.25">
      <c r="A9" s="122"/>
      <c r="B9" s="130"/>
      <c r="C9" s="28" t="s">
        <v>131</v>
      </c>
      <c r="D9" s="53" t="str">
        <f>D8</f>
        <v>TEMA</v>
      </c>
      <c r="E9" s="181">
        <v>40</v>
      </c>
      <c r="F9" s="29"/>
      <c r="G9" s="30" t="s">
        <v>36</v>
      </c>
      <c r="H9" s="27"/>
      <c r="I9" s="19"/>
    </row>
    <row r="10" spans="1:9" ht="15" customHeight="1" x14ac:dyDescent="0.25">
      <c r="A10" s="131"/>
      <c r="B10" s="182"/>
      <c r="C10" s="28" t="s">
        <v>132</v>
      </c>
      <c r="D10" s="52" t="str">
        <f>D9</f>
        <v>TEMA</v>
      </c>
      <c r="E10" s="180">
        <f>E9</f>
        <v>40</v>
      </c>
      <c r="F10" s="31"/>
      <c r="G10" s="30" t="s">
        <v>36</v>
      </c>
      <c r="H10" s="27"/>
      <c r="I10" s="19"/>
    </row>
    <row r="11" spans="1:9" ht="15" customHeight="1" x14ac:dyDescent="0.25">
      <c r="A11" s="131"/>
      <c r="B11" s="132"/>
      <c r="C11" s="28" t="s">
        <v>133</v>
      </c>
      <c r="D11" s="54" t="str">
        <f>D8</f>
        <v>TEMA</v>
      </c>
      <c r="E11" s="180">
        <f>E10+1</f>
        <v>41</v>
      </c>
      <c r="F11" s="31"/>
      <c r="G11" s="30" t="s">
        <v>36</v>
      </c>
      <c r="H11" s="27"/>
      <c r="I11" s="19"/>
    </row>
    <row r="12" spans="1:9" ht="15" customHeight="1" x14ac:dyDescent="0.25">
      <c r="A12" s="144">
        <v>12462.61</v>
      </c>
      <c r="B12" s="143">
        <f>A12-10385.51-1038.55-1038.55</f>
        <v>0</v>
      </c>
      <c r="C12" s="28" t="s">
        <v>134</v>
      </c>
      <c r="D12" s="54" t="str">
        <f t="shared" ref="D12:D14" si="0">D9</f>
        <v>TEMA</v>
      </c>
      <c r="E12" s="180">
        <f>E11+2</f>
        <v>43</v>
      </c>
      <c r="F12" s="31"/>
      <c r="G12" s="30" t="s">
        <v>36</v>
      </c>
      <c r="H12" s="27"/>
      <c r="I12" s="19"/>
    </row>
    <row r="13" spans="1:9" ht="15" customHeight="1" x14ac:dyDescent="0.25">
      <c r="A13" s="131"/>
      <c r="B13" s="132"/>
      <c r="C13" s="28" t="s">
        <v>135</v>
      </c>
      <c r="D13" s="54" t="str">
        <f t="shared" si="0"/>
        <v>TEMA</v>
      </c>
      <c r="E13" s="180">
        <f>E12+1</f>
        <v>44</v>
      </c>
      <c r="F13" s="31"/>
      <c r="G13" s="30" t="s">
        <v>36</v>
      </c>
      <c r="H13" s="27"/>
      <c r="I13" s="19"/>
    </row>
    <row r="14" spans="1:9" ht="15" customHeight="1" x14ac:dyDescent="0.25">
      <c r="A14" s="131"/>
      <c r="B14" s="132"/>
      <c r="C14" s="28" t="s">
        <v>136</v>
      </c>
      <c r="D14" s="54" t="str">
        <f t="shared" si="0"/>
        <v>TEMA</v>
      </c>
      <c r="E14" s="180">
        <v>6</v>
      </c>
      <c r="F14" s="31"/>
      <c r="G14" s="30" t="s">
        <v>36</v>
      </c>
      <c r="H14" s="27"/>
      <c r="I14" s="19"/>
    </row>
    <row r="15" spans="1:9" x14ac:dyDescent="0.25">
      <c r="A15" s="131"/>
      <c r="B15" s="132"/>
      <c r="C15" s="28" t="s">
        <v>62</v>
      </c>
      <c r="D15" s="53" t="s">
        <v>64</v>
      </c>
      <c r="E15" s="24">
        <f>E10+4</f>
        <v>44</v>
      </c>
      <c r="F15" s="29"/>
      <c r="G15" s="30" t="s">
        <v>70</v>
      </c>
      <c r="H15" s="27"/>
      <c r="I15" s="19"/>
    </row>
    <row r="16" spans="1:9" x14ac:dyDescent="0.25">
      <c r="A16" s="131"/>
      <c r="B16" s="132"/>
      <c r="C16" s="28" t="s">
        <v>10</v>
      </c>
      <c r="D16" s="52" t="s">
        <v>64</v>
      </c>
      <c r="E16" s="24">
        <f>E10+1</f>
        <v>41</v>
      </c>
      <c r="F16" s="29"/>
      <c r="G16" s="30" t="s">
        <v>70</v>
      </c>
      <c r="H16" s="27"/>
      <c r="I16" s="19"/>
    </row>
    <row r="17" spans="1:9" x14ac:dyDescent="0.25">
      <c r="A17" s="131"/>
      <c r="B17" s="132"/>
      <c r="C17" s="28" t="s">
        <v>11</v>
      </c>
      <c r="D17" s="53" t="s">
        <v>38</v>
      </c>
      <c r="E17" s="24">
        <f>E16+1</f>
        <v>42</v>
      </c>
      <c r="F17" s="29"/>
      <c r="G17" s="30" t="s">
        <v>36</v>
      </c>
      <c r="H17" s="27"/>
      <c r="I17" s="19"/>
    </row>
    <row r="18" spans="1:9" x14ac:dyDescent="0.25">
      <c r="A18" s="144">
        <v>847.18</v>
      </c>
      <c r="B18" s="143">
        <f>A18-847.18</f>
        <v>0</v>
      </c>
      <c r="C18" s="28" t="s">
        <v>12</v>
      </c>
      <c r="D18" s="52" t="s">
        <v>41</v>
      </c>
      <c r="E18" s="180">
        <f>IF(E13="","",MOD(E17+1,52))</f>
        <v>43</v>
      </c>
      <c r="F18" s="29"/>
      <c r="G18" s="30" t="s">
        <v>36</v>
      </c>
      <c r="H18" s="27"/>
      <c r="I18" s="19"/>
    </row>
    <row r="19" spans="1:9" x14ac:dyDescent="0.25">
      <c r="A19" s="131"/>
      <c r="B19" s="132"/>
      <c r="C19" s="28" t="s">
        <v>73</v>
      </c>
      <c r="D19" s="53" t="str">
        <f>D10</f>
        <v>TEMA</v>
      </c>
      <c r="E19" s="24">
        <f>IF(E18="","",MOD(E18+1,52))</f>
        <v>44</v>
      </c>
      <c r="F19" s="29"/>
      <c r="G19" s="30" t="s">
        <v>36</v>
      </c>
      <c r="H19" s="27"/>
      <c r="I19" s="19"/>
    </row>
    <row r="20" spans="1:9" x14ac:dyDescent="0.25">
      <c r="A20" s="144">
        <v>980.41</v>
      </c>
      <c r="B20" s="143">
        <f>A20-980.41</f>
        <v>0</v>
      </c>
      <c r="C20" s="28" t="s">
        <v>59</v>
      </c>
      <c r="D20" s="52" t="s">
        <v>41</v>
      </c>
      <c r="E20" s="24">
        <f>IF(E19="","",MOD(E19+1,52))</f>
        <v>45</v>
      </c>
      <c r="F20" s="29"/>
      <c r="G20" s="30" t="s">
        <v>36</v>
      </c>
      <c r="H20" s="27"/>
      <c r="I20" s="19"/>
    </row>
    <row r="21" spans="1:9" x14ac:dyDescent="0.25">
      <c r="A21" s="144">
        <v>791.93</v>
      </c>
      <c r="B21" s="143">
        <f>A21-791.93</f>
        <v>0</v>
      </c>
      <c r="C21" s="28" t="s">
        <v>60</v>
      </c>
      <c r="D21" s="54" t="s">
        <v>44</v>
      </c>
      <c r="E21" s="24">
        <f>E20</f>
        <v>45</v>
      </c>
      <c r="F21" s="29"/>
      <c r="G21" s="30" t="s">
        <v>36</v>
      </c>
      <c r="H21" s="50"/>
      <c r="I21" s="19"/>
    </row>
    <row r="22" spans="1:9" x14ac:dyDescent="0.25">
      <c r="A22" s="131"/>
      <c r="B22" s="132"/>
      <c r="C22" s="167" t="s">
        <v>13</v>
      </c>
      <c r="D22" s="168" t="s">
        <v>44</v>
      </c>
      <c r="E22" s="169">
        <f>E20</f>
        <v>45</v>
      </c>
      <c r="F22" s="170"/>
      <c r="G22" s="171" t="s">
        <v>36</v>
      </c>
      <c r="H22" s="172"/>
      <c r="I22" s="19"/>
    </row>
    <row r="23" spans="1:9" x14ac:dyDescent="0.25">
      <c r="A23" s="144">
        <v>2170.06</v>
      </c>
      <c r="B23" s="143">
        <f>A23-2170.06</f>
        <v>0</v>
      </c>
      <c r="C23" s="32" t="s">
        <v>138</v>
      </c>
      <c r="D23" s="52" t="s">
        <v>45</v>
      </c>
      <c r="E23" s="24">
        <v>50</v>
      </c>
      <c r="F23" s="29"/>
      <c r="G23" s="30" t="s">
        <v>36</v>
      </c>
      <c r="H23" s="27"/>
      <c r="I23" s="19"/>
    </row>
    <row r="24" spans="1:9" x14ac:dyDescent="0.25">
      <c r="A24" s="131"/>
      <c r="B24" s="132"/>
      <c r="C24" s="28" t="s">
        <v>14</v>
      </c>
      <c r="D24" s="53" t="str">
        <f>D17</f>
        <v>TEMA</v>
      </c>
      <c r="E24" s="24">
        <f>IF(E20="","",MOD(E20+2,52))</f>
        <v>47</v>
      </c>
      <c r="F24" s="29"/>
      <c r="G24" s="30" t="s">
        <v>36</v>
      </c>
      <c r="H24" s="27"/>
      <c r="I24" s="19"/>
    </row>
    <row r="25" spans="1:9" x14ac:dyDescent="0.25">
      <c r="A25" s="257">
        <v>0</v>
      </c>
      <c r="B25" s="143">
        <f>A25</f>
        <v>0</v>
      </c>
      <c r="C25" s="183" t="s">
        <v>137</v>
      </c>
      <c r="D25" s="53" t="s">
        <v>56</v>
      </c>
      <c r="E25" s="24">
        <v>50</v>
      </c>
      <c r="F25" s="29"/>
      <c r="G25" s="72" t="s">
        <v>36</v>
      </c>
      <c r="H25" s="27"/>
      <c r="I25" s="19"/>
    </row>
    <row r="26" spans="1:9" x14ac:dyDescent="0.25">
      <c r="A26" s="131"/>
      <c r="B26" s="132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145"/>
      <c r="B27" s="146"/>
      <c r="C27" s="387" t="s">
        <v>144</v>
      </c>
      <c r="D27" s="388"/>
      <c r="E27" s="388"/>
      <c r="F27" s="388"/>
      <c r="G27" s="388"/>
      <c r="H27" s="389"/>
      <c r="I27" s="19"/>
    </row>
    <row r="28" spans="1:9" ht="15.75" thickBot="1" x14ac:dyDescent="0.3">
      <c r="A28" s="131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44">
        <v>1010.46</v>
      </c>
      <c r="B29" s="143">
        <f>A29-1010.46</f>
        <v>0</v>
      </c>
      <c r="C29" s="78" t="s">
        <v>66</v>
      </c>
      <c r="D29" s="52" t="s">
        <v>90</v>
      </c>
      <c r="E29" s="79">
        <v>2</v>
      </c>
      <c r="F29" s="25"/>
      <c r="G29" s="26" t="s">
        <v>36</v>
      </c>
      <c r="H29" s="27"/>
      <c r="I29" s="19"/>
    </row>
    <row r="30" spans="1:9" x14ac:dyDescent="0.25">
      <c r="A30" s="144">
        <v>1969.4</v>
      </c>
      <c r="B30" s="143">
        <f>A30-1969.4</f>
        <v>0</v>
      </c>
      <c r="C30" s="28" t="s">
        <v>67</v>
      </c>
      <c r="D30" s="53" t="s">
        <v>47</v>
      </c>
      <c r="E30" s="24">
        <v>3</v>
      </c>
      <c r="F30" s="29"/>
      <c r="G30" s="30" t="s">
        <v>36</v>
      </c>
      <c r="H30" s="27"/>
      <c r="I30" s="19"/>
    </row>
    <row r="31" spans="1:9" x14ac:dyDescent="0.25">
      <c r="A31" s="131"/>
      <c r="B31" s="132"/>
      <c r="C31" s="62" t="s">
        <v>16</v>
      </c>
      <c r="D31" s="52" t="str">
        <f>D29</f>
        <v>ELECTRO HECKER</v>
      </c>
      <c r="E31" s="24">
        <v>4</v>
      </c>
      <c r="F31" s="29"/>
      <c r="G31" s="30" t="s">
        <v>36</v>
      </c>
      <c r="H31" s="27"/>
      <c r="I31" s="19"/>
    </row>
    <row r="32" spans="1:9" x14ac:dyDescent="0.25">
      <c r="A32" s="144">
        <v>653.79999999999995</v>
      </c>
      <c r="B32" s="143">
        <f>A32-653.8</f>
        <v>0</v>
      </c>
      <c r="C32" s="80" t="s">
        <v>17</v>
      </c>
      <c r="D32" s="53" t="s">
        <v>50</v>
      </c>
      <c r="E32" s="24">
        <v>5</v>
      </c>
      <c r="F32" s="29"/>
      <c r="G32" s="30" t="s">
        <v>36</v>
      </c>
      <c r="H32" s="27"/>
      <c r="I32" s="19"/>
    </row>
    <row r="33" spans="1:9" x14ac:dyDescent="0.25">
      <c r="A33" s="143"/>
      <c r="B33" s="143"/>
      <c r="C33" s="62" t="s">
        <v>140</v>
      </c>
      <c r="D33" s="52" t="s">
        <v>50</v>
      </c>
      <c r="E33" s="24">
        <f>IF(E32="","",MOD(E32+1,52))</f>
        <v>6</v>
      </c>
      <c r="F33" s="29"/>
      <c r="G33" s="30" t="s">
        <v>36</v>
      </c>
      <c r="H33" s="27"/>
      <c r="I33" s="19"/>
    </row>
    <row r="34" spans="1:9" x14ac:dyDescent="0.25">
      <c r="A34" s="144">
        <v>920.99</v>
      </c>
      <c r="B34" s="143">
        <f>A34-920.99</f>
        <v>0</v>
      </c>
      <c r="C34" s="28" t="s">
        <v>141</v>
      </c>
      <c r="D34" s="53" t="s">
        <v>50</v>
      </c>
      <c r="E34" s="24">
        <f>IF(E32="","",MOD(E32+1,52))</f>
        <v>6</v>
      </c>
      <c r="F34" s="29"/>
      <c r="G34" s="30" t="s">
        <v>36</v>
      </c>
      <c r="H34" s="27"/>
      <c r="I34" s="19"/>
    </row>
    <row r="35" spans="1:9" x14ac:dyDescent="0.25">
      <c r="A35" s="131"/>
      <c r="B35" s="13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257">
        <v>0</v>
      </c>
      <c r="B36" s="143">
        <f>A36</f>
        <v>0</v>
      </c>
      <c r="C36" s="28" t="s">
        <v>19</v>
      </c>
      <c r="D36" s="53" t="s">
        <v>53</v>
      </c>
      <c r="E36" s="24">
        <v>8</v>
      </c>
      <c r="F36" s="29"/>
      <c r="G36" s="30" t="s">
        <v>36</v>
      </c>
      <c r="H36" s="27"/>
      <c r="I36" s="19"/>
    </row>
    <row r="37" spans="1:9" x14ac:dyDescent="0.25">
      <c r="A37" s="267"/>
      <c r="B37" s="132"/>
      <c r="C37" s="28" t="s">
        <v>20</v>
      </c>
      <c r="D37" s="52" t="str">
        <f>D30</f>
        <v>SOARES</v>
      </c>
      <c r="E37" s="24">
        <v>11</v>
      </c>
      <c r="F37" s="29"/>
      <c r="G37" s="30" t="s">
        <v>36</v>
      </c>
      <c r="H37" s="27"/>
      <c r="I37" s="19"/>
    </row>
    <row r="38" spans="1:9" x14ac:dyDescent="0.25">
      <c r="A38" s="267"/>
      <c r="B38" s="132"/>
      <c r="C38" s="28" t="s">
        <v>21</v>
      </c>
      <c r="D38" s="53" t="str">
        <f>D29</f>
        <v>ELECTRO HECKER</v>
      </c>
      <c r="E38" s="24">
        <f>IF(E37="","",MOD(E37+1,52))</f>
        <v>12</v>
      </c>
      <c r="F38" s="29"/>
      <c r="G38" s="30" t="s">
        <v>36</v>
      </c>
      <c r="H38" s="27"/>
      <c r="I38" s="19"/>
    </row>
    <row r="39" spans="1:9" x14ac:dyDescent="0.25">
      <c r="A39" s="267"/>
      <c r="B39" s="132"/>
      <c r="C39" s="28" t="s">
        <v>22</v>
      </c>
      <c r="D39" s="52" t="str">
        <f>D32</f>
        <v>HERTFELDER</v>
      </c>
      <c r="E39" s="24">
        <f>IF(E37="","",MOD(E37+1,52))</f>
        <v>12</v>
      </c>
      <c r="F39" s="29"/>
      <c r="G39" s="30" t="s">
        <v>36</v>
      </c>
      <c r="H39" s="27"/>
      <c r="I39" s="19"/>
    </row>
    <row r="40" spans="1:9" x14ac:dyDescent="0.25">
      <c r="A40" s="257">
        <v>0</v>
      </c>
      <c r="B40" s="143">
        <f>A40</f>
        <v>0</v>
      </c>
      <c r="C40" s="28" t="s">
        <v>23</v>
      </c>
      <c r="D40" s="53" t="s">
        <v>53</v>
      </c>
      <c r="E40" s="24">
        <v>16</v>
      </c>
      <c r="F40" s="29"/>
      <c r="G40" s="30" t="s">
        <v>35</v>
      </c>
      <c r="H40" s="27"/>
      <c r="I40" s="19"/>
    </row>
    <row r="41" spans="1:9" x14ac:dyDescent="0.25">
      <c r="A41" s="267"/>
      <c r="B41" s="132"/>
      <c r="C41" s="28" t="s">
        <v>24</v>
      </c>
      <c r="D41" s="52" t="s">
        <v>64</v>
      </c>
      <c r="E41" s="24">
        <f>E39+1</f>
        <v>13</v>
      </c>
      <c r="F41" s="29"/>
      <c r="G41" s="30" t="s">
        <v>70</v>
      </c>
      <c r="H41" s="27"/>
      <c r="I41" s="19"/>
    </row>
    <row r="42" spans="1:9" x14ac:dyDescent="0.25">
      <c r="A42" s="267"/>
      <c r="B42" s="132"/>
      <c r="C42" s="28" t="s">
        <v>25</v>
      </c>
      <c r="D42" s="53" t="str">
        <f>D34</f>
        <v>HERTFELDER</v>
      </c>
      <c r="E42" s="24">
        <f>IF(E40="","",MOD(E40+2,52))</f>
        <v>18</v>
      </c>
      <c r="F42" s="29"/>
      <c r="G42" s="30" t="s">
        <v>36</v>
      </c>
      <c r="H42" s="27"/>
      <c r="I42" s="19"/>
    </row>
    <row r="43" spans="1:9" x14ac:dyDescent="0.25">
      <c r="A43" s="257">
        <v>0</v>
      </c>
      <c r="B43" s="143">
        <f>A43</f>
        <v>0</v>
      </c>
      <c r="C43" s="81" t="s">
        <v>147</v>
      </c>
      <c r="D43" s="52" t="s">
        <v>64</v>
      </c>
      <c r="E43" s="82">
        <f>E44</f>
        <v>18</v>
      </c>
      <c r="F43" s="83"/>
      <c r="G43" s="72" t="s">
        <v>70</v>
      </c>
      <c r="H43" s="27"/>
      <c r="I43" s="19"/>
    </row>
    <row r="44" spans="1:9" x14ac:dyDescent="0.25">
      <c r="A44" s="257">
        <v>0</v>
      </c>
      <c r="B44" s="143">
        <f>A44</f>
        <v>0</v>
      </c>
      <c r="C44" s="81" t="s">
        <v>139</v>
      </c>
      <c r="D44" s="193" t="s">
        <v>54</v>
      </c>
      <c r="E44" s="82">
        <f>IF(E40="","",MOD(E40+2,52))</f>
        <v>18</v>
      </c>
      <c r="F44" s="83"/>
      <c r="G44" s="72" t="s">
        <v>36</v>
      </c>
      <c r="H44" s="194"/>
      <c r="I44" s="19"/>
    </row>
    <row r="45" spans="1:9" x14ac:dyDescent="0.25">
      <c r="A45" s="267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268"/>
      <c r="B46" s="146"/>
      <c r="C46" s="387" t="s">
        <v>146</v>
      </c>
      <c r="D46" s="388"/>
      <c r="E46" s="388"/>
      <c r="F46" s="388"/>
      <c r="G46" s="388"/>
      <c r="H46" s="389"/>
      <c r="I46" s="19"/>
    </row>
    <row r="47" spans="1:9" ht="15.75" thickBot="1" x14ac:dyDescent="0.3">
      <c r="A47" s="267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257">
        <v>0</v>
      </c>
      <c r="B48" s="143">
        <f>A48</f>
        <v>0</v>
      </c>
      <c r="C48" s="88" t="s">
        <v>26</v>
      </c>
      <c r="D48" s="52" t="s">
        <v>64</v>
      </c>
      <c r="E48" s="89">
        <f>E32+1</f>
        <v>6</v>
      </c>
      <c r="F48" s="25"/>
      <c r="G48" s="26" t="s">
        <v>70</v>
      </c>
      <c r="H48" s="27"/>
      <c r="I48" s="19"/>
    </row>
    <row r="49" spans="1:9" x14ac:dyDescent="0.25">
      <c r="A49" s="133"/>
      <c r="B49" s="173"/>
      <c r="C49" s="102" t="s">
        <v>69</v>
      </c>
      <c r="D49" s="103" t="s">
        <v>64</v>
      </c>
      <c r="E49" s="104">
        <f>E48</f>
        <v>6</v>
      </c>
      <c r="F49" s="105"/>
      <c r="G49" s="106" t="s">
        <v>70</v>
      </c>
      <c r="H49" s="27"/>
      <c r="I49" s="19"/>
    </row>
    <row r="50" spans="1:9" x14ac:dyDescent="0.25">
      <c r="A50" s="133"/>
      <c r="B50" s="173"/>
      <c r="C50" s="92" t="s">
        <v>61</v>
      </c>
      <c r="D50" s="99" t="s">
        <v>68</v>
      </c>
      <c r="E50" s="101">
        <f>E48+1</f>
        <v>7</v>
      </c>
      <c r="F50" s="95"/>
      <c r="G50" s="96" t="s">
        <v>9</v>
      </c>
      <c r="H50" s="97"/>
      <c r="I50" s="19"/>
    </row>
    <row r="51" spans="1:9" x14ac:dyDescent="0.25">
      <c r="A51" s="133">
        <f>SUM(A8:A50)</f>
        <v>21806.840000000004</v>
      </c>
      <c r="B51" s="133">
        <f>SUM(B8:B50)</f>
        <v>0</v>
      </c>
      <c r="C51" s="91" t="s">
        <v>27</v>
      </c>
      <c r="D51" s="52" t="str">
        <f>D48</f>
        <v>A CHARGE CLIENT</v>
      </c>
      <c r="E51" s="90">
        <f>E48+3</f>
        <v>9</v>
      </c>
      <c r="F51" s="29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7" t="s">
        <v>142</v>
      </c>
      <c r="I54" s="19"/>
    </row>
    <row r="55" spans="1:9" x14ac:dyDescent="0.25">
      <c r="A55" s="42"/>
      <c r="B55" s="126"/>
      <c r="C55" s="43" t="s">
        <v>122</v>
      </c>
      <c r="D55" s="107">
        <v>42992</v>
      </c>
      <c r="E55" s="44"/>
      <c r="F55" s="45" t="s">
        <v>109</v>
      </c>
      <c r="G55" s="18"/>
      <c r="H55" s="398"/>
      <c r="I55" s="19"/>
    </row>
    <row r="56" spans="1:9" x14ac:dyDescent="0.25">
      <c r="A56" s="42"/>
      <c r="B56" s="126"/>
      <c r="C56" s="33" t="s">
        <v>123</v>
      </c>
      <c r="D56" s="49">
        <v>43006</v>
      </c>
      <c r="E56" s="46"/>
      <c r="F56" s="2" t="s">
        <v>109</v>
      </c>
      <c r="G56" s="18"/>
      <c r="H56" s="399" t="e">
        <f>DATEDIF(E3,D58,"m")&amp;"mois"&amp;DATEDIF(E3,D58,"md")&amp;"jours"</f>
        <v>#NUM!</v>
      </c>
      <c r="I56" s="19"/>
    </row>
    <row r="57" spans="1:9" ht="15.75" thickBot="1" x14ac:dyDescent="0.3">
      <c r="A57" s="42"/>
      <c r="B57" s="126"/>
      <c r="C57" s="33" t="s">
        <v>31</v>
      </c>
      <c r="D57" s="49">
        <v>43080</v>
      </c>
      <c r="E57" s="46"/>
      <c r="F57" s="2" t="s">
        <v>109</v>
      </c>
      <c r="G57" s="18"/>
      <c r="H57" s="400"/>
      <c r="I57" s="19"/>
    </row>
    <row r="58" spans="1:9" x14ac:dyDescent="0.25">
      <c r="A58" s="42"/>
      <c r="B58" s="126"/>
      <c r="C58" s="47" t="s">
        <v>32</v>
      </c>
      <c r="D58" s="184">
        <v>42795</v>
      </c>
      <c r="E58" s="14"/>
      <c r="F58" s="15" t="s">
        <v>148</v>
      </c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1"/>
      <c r="D60" s="371"/>
      <c r="E60" s="371"/>
      <c r="F60" s="371"/>
      <c r="G60" s="371"/>
      <c r="H60" s="371"/>
      <c r="I60" s="372"/>
    </row>
    <row r="61" spans="1:9" x14ac:dyDescent="0.25">
      <c r="A61" s="34"/>
      <c r="B61" s="18"/>
      <c r="C61" s="373"/>
      <c r="D61" s="373"/>
      <c r="E61" s="373"/>
      <c r="F61" s="373"/>
      <c r="G61" s="373"/>
      <c r="H61" s="373"/>
      <c r="I61" s="374"/>
    </row>
    <row r="62" spans="1:9" x14ac:dyDescent="0.25">
      <c r="A62" s="34"/>
      <c r="B62" s="18"/>
      <c r="C62" s="373"/>
      <c r="D62" s="373"/>
      <c r="E62" s="373"/>
      <c r="F62" s="373"/>
      <c r="G62" s="373"/>
      <c r="H62" s="373"/>
      <c r="I62" s="374"/>
    </row>
    <row r="63" spans="1:9" x14ac:dyDescent="0.25">
      <c r="A63" s="34"/>
      <c r="B63" s="18"/>
      <c r="C63" s="373"/>
      <c r="D63" s="373"/>
      <c r="E63" s="373"/>
      <c r="F63" s="373"/>
      <c r="G63" s="373"/>
      <c r="H63" s="373"/>
      <c r="I63" s="374"/>
    </row>
    <row r="64" spans="1:9" x14ac:dyDescent="0.25">
      <c r="A64" s="34"/>
      <c r="B64" s="18"/>
      <c r="C64" s="373"/>
      <c r="D64" s="373"/>
      <c r="E64" s="373"/>
      <c r="F64" s="373"/>
      <c r="G64" s="373"/>
      <c r="H64" s="373"/>
      <c r="I64" s="374"/>
    </row>
    <row r="65" spans="1:9" x14ac:dyDescent="0.25">
      <c r="A65" s="44"/>
      <c r="B65" s="45"/>
      <c r="C65" s="375"/>
      <c r="D65" s="375"/>
      <c r="E65" s="375"/>
      <c r="F65" s="375"/>
      <c r="G65" s="375"/>
      <c r="H65" s="375"/>
      <c r="I65" s="376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A1:G1"/>
    <mergeCell ref="A2:B2"/>
    <mergeCell ref="E2:F2"/>
    <mergeCell ref="H2:I2"/>
    <mergeCell ref="A3:B3"/>
    <mergeCell ref="E3:F3"/>
    <mergeCell ref="H3:I3"/>
    <mergeCell ref="H54:H55"/>
    <mergeCell ref="H56:H57"/>
    <mergeCell ref="C60:I65"/>
    <mergeCell ref="E4:F4"/>
    <mergeCell ref="A5:B5"/>
    <mergeCell ref="A6:B6"/>
    <mergeCell ref="C6:H6"/>
    <mergeCell ref="C27:H27"/>
    <mergeCell ref="C46:H46"/>
  </mergeCells>
  <conditionalFormatting sqref="C52:G52">
    <cfRule type="expression" dxfId="1268" priority="70">
      <formula>$F52="réalisé"</formula>
    </cfRule>
  </conditionalFormatting>
  <conditionalFormatting sqref="C48:C51 E48:H51 E29:H45 C8:H26">
    <cfRule type="expression" dxfId="1267" priority="67">
      <formula>$G8="réalisé"</formula>
    </cfRule>
    <cfRule type="expression" dxfId="1266" priority="68">
      <formula>$G8="en cours"</formula>
    </cfRule>
    <cfRule type="expression" dxfId="1265" priority="69">
      <formula>$G8="non compris"</formula>
    </cfRule>
  </conditionalFormatting>
  <conditionalFormatting sqref="C29:C45">
    <cfRule type="expression" dxfId="1264" priority="64">
      <formula>$G29="réalisé"</formula>
    </cfRule>
    <cfRule type="expression" dxfId="1263" priority="65">
      <formula>$G29="en cours"</formula>
    </cfRule>
    <cfRule type="expression" dxfId="1262" priority="66">
      <formula>$G29="non compris"</formula>
    </cfRule>
  </conditionalFormatting>
  <conditionalFormatting sqref="C55:F58">
    <cfRule type="expression" dxfId="1261" priority="63">
      <formula>$F55="réalisé"</formula>
    </cfRule>
  </conditionalFormatting>
  <conditionalFormatting sqref="G9">
    <cfRule type="expression" dxfId="1260" priority="62">
      <formula>$G$10="réalisé"</formula>
    </cfRule>
  </conditionalFormatting>
  <conditionalFormatting sqref="G10:G14">
    <cfRule type="expression" dxfId="1259" priority="61">
      <formula>$G$15="réalisé"</formula>
    </cfRule>
  </conditionalFormatting>
  <conditionalFormatting sqref="G20:G21">
    <cfRule type="expression" dxfId="1258" priority="60">
      <formula>$G$22="réalisé"</formula>
    </cfRule>
  </conditionalFormatting>
  <conditionalFormatting sqref="G30">
    <cfRule type="expression" dxfId="1257" priority="59">
      <formula>$G$31="réalisé"</formula>
    </cfRule>
  </conditionalFormatting>
  <conditionalFormatting sqref="D29">
    <cfRule type="expression" dxfId="1256" priority="56">
      <formula>$G29="réalisé"</formula>
    </cfRule>
    <cfRule type="expression" dxfId="1255" priority="57">
      <formula>$G29="en cours"</formula>
    </cfRule>
    <cfRule type="expression" dxfId="1254" priority="58">
      <formula>$G29="non compris"</formula>
    </cfRule>
  </conditionalFormatting>
  <conditionalFormatting sqref="D31">
    <cfRule type="expression" dxfId="1253" priority="53">
      <formula>$G31="réalisé"</formula>
    </cfRule>
    <cfRule type="expression" dxfId="1252" priority="54">
      <formula>$G31="en cours"</formula>
    </cfRule>
    <cfRule type="expression" dxfId="1251" priority="55">
      <formula>$G31="non compris"</formula>
    </cfRule>
  </conditionalFormatting>
  <conditionalFormatting sqref="D33">
    <cfRule type="expression" dxfId="1250" priority="50">
      <formula>$G33="réalisé"</formula>
    </cfRule>
    <cfRule type="expression" dxfId="1249" priority="51">
      <formula>$G33="en cours"</formula>
    </cfRule>
    <cfRule type="expression" dxfId="1248" priority="52">
      <formula>$G33="non compris"</formula>
    </cfRule>
  </conditionalFormatting>
  <conditionalFormatting sqref="D35">
    <cfRule type="expression" dxfId="1247" priority="47">
      <formula>$G35="réalisé"</formula>
    </cfRule>
    <cfRule type="expression" dxfId="1246" priority="48">
      <formula>$G35="en cours"</formula>
    </cfRule>
    <cfRule type="expression" dxfId="1245" priority="49">
      <formula>$G35="non compris"</formula>
    </cfRule>
  </conditionalFormatting>
  <conditionalFormatting sqref="D37">
    <cfRule type="expression" dxfId="1244" priority="44">
      <formula>$G37="réalisé"</formula>
    </cfRule>
    <cfRule type="expression" dxfId="1243" priority="45">
      <formula>$G37="en cours"</formula>
    </cfRule>
    <cfRule type="expression" dxfId="1242" priority="46">
      <formula>$G37="non compris"</formula>
    </cfRule>
  </conditionalFormatting>
  <conditionalFormatting sqref="D39">
    <cfRule type="expression" dxfId="1241" priority="41">
      <formula>$G39="réalisé"</formula>
    </cfRule>
    <cfRule type="expression" dxfId="1240" priority="42">
      <formula>$G39="en cours"</formula>
    </cfRule>
    <cfRule type="expression" dxfId="1239" priority="43">
      <formula>$G39="non compris"</formula>
    </cfRule>
  </conditionalFormatting>
  <conditionalFormatting sqref="D41">
    <cfRule type="expression" dxfId="1238" priority="38">
      <formula>$G41="réalisé"</formula>
    </cfRule>
    <cfRule type="expression" dxfId="1237" priority="39">
      <formula>$G41="en cours"</formula>
    </cfRule>
    <cfRule type="expression" dxfId="1236" priority="40">
      <formula>$G41="non compris"</formula>
    </cfRule>
  </conditionalFormatting>
  <conditionalFormatting sqref="D44:D45">
    <cfRule type="expression" dxfId="1235" priority="35">
      <formula>$G44="réalisé"</formula>
    </cfRule>
    <cfRule type="expression" dxfId="1234" priority="36">
      <formula>$G44="en cours"</formula>
    </cfRule>
    <cfRule type="expression" dxfId="1233" priority="37">
      <formula>$G44="non compris"</formula>
    </cfRule>
  </conditionalFormatting>
  <conditionalFormatting sqref="D30">
    <cfRule type="expression" dxfId="1232" priority="32">
      <formula>$G30="réalisé"</formula>
    </cfRule>
    <cfRule type="expression" dxfId="1231" priority="33">
      <formula>$G30="en cours"</formula>
    </cfRule>
    <cfRule type="expression" dxfId="1230" priority="34">
      <formula>$G30="non compris"</formula>
    </cfRule>
  </conditionalFormatting>
  <conditionalFormatting sqref="D32">
    <cfRule type="expression" dxfId="1229" priority="29">
      <formula>$G32="réalisé"</formula>
    </cfRule>
    <cfRule type="expression" dxfId="1228" priority="30">
      <formula>$G32="en cours"</formula>
    </cfRule>
    <cfRule type="expression" dxfId="1227" priority="31">
      <formula>$G32="non compris"</formula>
    </cfRule>
  </conditionalFormatting>
  <conditionalFormatting sqref="D34">
    <cfRule type="expression" dxfId="1226" priority="26">
      <formula>$G34="réalisé"</formula>
    </cfRule>
    <cfRule type="expression" dxfId="1225" priority="27">
      <formula>$G34="en cours"</formula>
    </cfRule>
    <cfRule type="expression" dxfId="1224" priority="28">
      <formula>$G34="non compris"</formula>
    </cfRule>
  </conditionalFormatting>
  <conditionalFormatting sqref="D36">
    <cfRule type="expression" dxfId="1223" priority="23">
      <formula>$G36="réalisé"</formula>
    </cfRule>
    <cfRule type="expression" dxfId="1222" priority="24">
      <formula>$G36="en cours"</formula>
    </cfRule>
    <cfRule type="expression" dxfId="1221" priority="25">
      <formula>$G36="non compris"</formula>
    </cfRule>
  </conditionalFormatting>
  <conditionalFormatting sqref="D38">
    <cfRule type="expression" dxfId="1220" priority="20">
      <formula>$G38="réalisé"</formula>
    </cfRule>
    <cfRule type="expression" dxfId="1219" priority="21">
      <formula>$G38="en cours"</formula>
    </cfRule>
    <cfRule type="expression" dxfId="1218" priority="22">
      <formula>$G38="non compris"</formula>
    </cfRule>
  </conditionalFormatting>
  <conditionalFormatting sqref="D40">
    <cfRule type="expression" dxfId="1217" priority="17">
      <formula>$G40="réalisé"</formula>
    </cfRule>
    <cfRule type="expression" dxfId="1216" priority="18">
      <formula>$G40="en cours"</formula>
    </cfRule>
    <cfRule type="expression" dxfId="1215" priority="19">
      <formula>$G40="non compris"</formula>
    </cfRule>
  </conditionalFormatting>
  <conditionalFormatting sqref="D42:D43">
    <cfRule type="expression" dxfId="1214" priority="14">
      <formula>$G42="réalisé"</formula>
    </cfRule>
    <cfRule type="expression" dxfId="1213" priority="15">
      <formula>$G42="en cours"</formula>
    </cfRule>
    <cfRule type="expression" dxfId="1212" priority="16">
      <formula>$G42="non compris"</formula>
    </cfRule>
  </conditionalFormatting>
  <conditionalFormatting sqref="D50">
    <cfRule type="expression" dxfId="1211" priority="11">
      <formula>$G50="réalisé"</formula>
    </cfRule>
    <cfRule type="expression" dxfId="1210" priority="12">
      <formula>$G50="en cours"</formula>
    </cfRule>
    <cfRule type="expression" dxfId="1209" priority="13">
      <formula>$G50="non compris"</formula>
    </cfRule>
  </conditionalFormatting>
  <conditionalFormatting sqref="D49">
    <cfRule type="expression" dxfId="1208" priority="8">
      <formula>$G49="réalisé"</formula>
    </cfRule>
    <cfRule type="expression" dxfId="1207" priority="9">
      <formula>$G49="en cours"</formula>
    </cfRule>
    <cfRule type="expression" dxfId="1206" priority="10">
      <formula>$G49="non compris"</formula>
    </cfRule>
  </conditionalFormatting>
  <conditionalFormatting sqref="D48">
    <cfRule type="expression" dxfId="1205" priority="5">
      <formula>$G48="réalisé"</formula>
    </cfRule>
    <cfRule type="expression" dxfId="1204" priority="6">
      <formula>$G48="en cours"</formula>
    </cfRule>
    <cfRule type="expression" dxfId="1203" priority="7">
      <formula>$G48="non compris"</formula>
    </cfRule>
  </conditionalFormatting>
  <conditionalFormatting sqref="D51">
    <cfRule type="expression" dxfId="1202" priority="2">
      <formula>$G51="réalisé"</formula>
    </cfRule>
    <cfRule type="expression" dxfId="1201" priority="3">
      <formula>$G51="en cours"</formula>
    </cfRule>
    <cfRule type="expression" dxfId="1200" priority="4">
      <formula>$G51="non compris"</formula>
    </cfRule>
  </conditionalFormatting>
  <conditionalFormatting sqref="D8:D26">
    <cfRule type="expression" dxfId="1199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82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B050"/>
    <pageSetUpPr fitToPage="1"/>
  </sheetPr>
  <dimension ref="A1:I74"/>
  <sheetViews>
    <sheetView topLeftCell="A4" zoomScaleNormal="100" workbookViewId="0">
      <selection activeCell="B13" sqref="B13"/>
    </sheetView>
  </sheetViews>
  <sheetFormatPr baseColWidth="10" defaultRowHeight="15" x14ac:dyDescent="0.25"/>
  <cols>
    <col min="1" max="1" width="9.140625" customWidth="1"/>
    <col min="2" max="2" width="14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7" t="s">
        <v>0</v>
      </c>
      <c r="B1" s="378"/>
      <c r="C1" s="378"/>
      <c r="D1" s="378"/>
      <c r="E1" s="378"/>
      <c r="F1" s="378"/>
      <c r="G1" s="378"/>
      <c r="H1" s="1" t="s">
        <v>1</v>
      </c>
      <c r="I1" s="3">
        <f ca="1">INT(MOD(INT((LISTE!D1-2)/7)+0.6,52+5/28))+1</f>
        <v>41</v>
      </c>
    </row>
    <row r="2" spans="1:9" x14ac:dyDescent="0.25">
      <c r="A2" s="390" t="s">
        <v>2</v>
      </c>
      <c r="B2" s="391"/>
      <c r="C2" s="70" t="str">
        <f ca="1">MID(CELL("nomfichier",A1),FIND("]",CELL("nomfichier",A1),1)+1,30)</f>
        <v>REPPERT</v>
      </c>
      <c r="D2" s="4" t="s">
        <v>72</v>
      </c>
      <c r="E2" s="379">
        <v>43161</v>
      </c>
      <c r="F2" s="379"/>
      <c r="G2" s="5"/>
      <c r="H2" s="380" t="s">
        <v>143</v>
      </c>
      <c r="I2" s="381"/>
    </row>
    <row r="3" spans="1:9" ht="15.75" x14ac:dyDescent="0.25">
      <c r="A3" s="392" t="s">
        <v>106</v>
      </c>
      <c r="B3" s="384"/>
      <c r="C3" s="6" t="s">
        <v>212</v>
      </c>
      <c r="D3" s="7" t="s">
        <v>3</v>
      </c>
      <c r="E3" s="382">
        <v>43256</v>
      </c>
      <c r="F3" s="383"/>
      <c r="G3" s="8"/>
      <c r="H3" s="384" t="str">
        <f ca="1">DATEDIF(E3,TODAY(),"m")&amp;"mois"&amp;-DATEDIF(E3,TODAY(),"md")&amp;"jours"</f>
        <v>4mois-7jours</v>
      </c>
      <c r="I3" s="385"/>
    </row>
    <row r="4" spans="1:9" ht="18.75" x14ac:dyDescent="0.25">
      <c r="A4" s="69" t="s">
        <v>117</v>
      </c>
      <c r="B4" s="129"/>
      <c r="C4" s="9" t="s">
        <v>237</v>
      </c>
      <c r="D4" s="10" t="s">
        <v>4</v>
      </c>
      <c r="E4" s="386">
        <f>E3+60</f>
        <v>43316</v>
      </c>
      <c r="F4" s="386"/>
      <c r="G4" s="11"/>
      <c r="H4" s="12"/>
      <c r="I4" s="13"/>
    </row>
    <row r="5" spans="1:9" x14ac:dyDescent="0.25">
      <c r="A5" s="393" t="s">
        <v>76</v>
      </c>
      <c r="B5" s="394"/>
      <c r="C5" s="15"/>
      <c r="D5" s="16"/>
      <c r="E5" s="15"/>
      <c r="F5" s="15"/>
      <c r="G5" s="17"/>
      <c r="H5" s="18"/>
      <c r="I5" s="19"/>
    </row>
    <row r="6" spans="1:9" ht="18.75" x14ac:dyDescent="0.3">
      <c r="A6" s="395" t="s">
        <v>75</v>
      </c>
      <c r="B6" s="396"/>
      <c r="C6" s="387" t="s">
        <v>145</v>
      </c>
      <c r="D6" s="388"/>
      <c r="E6" s="388"/>
      <c r="F6" s="388"/>
      <c r="G6" s="388"/>
      <c r="H6" s="389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22"/>
      <c r="B8" s="200"/>
      <c r="C8" s="28" t="s">
        <v>124</v>
      </c>
      <c r="D8" s="52" t="s">
        <v>204</v>
      </c>
      <c r="E8" s="180">
        <v>23</v>
      </c>
      <c r="F8" s="25"/>
      <c r="G8" s="26" t="s">
        <v>36</v>
      </c>
      <c r="H8" s="27"/>
      <c r="I8" s="19"/>
    </row>
    <row r="9" spans="1:9" x14ac:dyDescent="0.25">
      <c r="A9" s="122"/>
      <c r="B9" s="130"/>
      <c r="C9" s="28" t="s">
        <v>131</v>
      </c>
      <c r="D9" s="53" t="str">
        <f>D8</f>
        <v>SA3 BÂTIMENT</v>
      </c>
      <c r="E9" s="181">
        <f>E8+1</f>
        <v>24</v>
      </c>
      <c r="F9" s="29"/>
      <c r="G9" s="30" t="s">
        <v>36</v>
      </c>
      <c r="H9" s="27"/>
      <c r="I9" s="19"/>
    </row>
    <row r="10" spans="1:9" ht="15" customHeight="1" x14ac:dyDescent="0.25">
      <c r="A10" s="131"/>
      <c r="B10" s="182"/>
      <c r="C10" s="28" t="s">
        <v>132</v>
      </c>
      <c r="D10" s="52" t="str">
        <f>D9</f>
        <v>SA3 BÂTIMENT</v>
      </c>
      <c r="E10" s="180">
        <v>27</v>
      </c>
      <c r="F10" s="31"/>
      <c r="G10" s="30" t="s">
        <v>36</v>
      </c>
      <c r="H10" s="27"/>
      <c r="I10" s="19"/>
    </row>
    <row r="11" spans="1:9" ht="15" customHeight="1" x14ac:dyDescent="0.25">
      <c r="A11" s="131"/>
      <c r="B11" s="132"/>
      <c r="C11" s="28" t="s">
        <v>133</v>
      </c>
      <c r="D11" s="54" t="str">
        <f>D8</f>
        <v>SA3 BÂTIMENT</v>
      </c>
      <c r="E11" s="180">
        <v>31</v>
      </c>
      <c r="F11" s="31"/>
      <c r="G11" s="30" t="s">
        <v>36</v>
      </c>
      <c r="H11" s="27"/>
      <c r="I11" s="19"/>
    </row>
    <row r="12" spans="1:9" ht="15" customHeight="1" x14ac:dyDescent="0.25">
      <c r="A12" s="144">
        <v>18583.37</v>
      </c>
      <c r="B12" s="143">
        <f>A12-6120-6120-4200-2143.37</f>
        <v>0</v>
      </c>
      <c r="C12" s="55" t="s">
        <v>134</v>
      </c>
      <c r="D12" s="205" t="s">
        <v>68</v>
      </c>
      <c r="E12" s="204">
        <f>E11+2</f>
        <v>33</v>
      </c>
      <c r="F12" s="206"/>
      <c r="G12" s="58" t="s">
        <v>9</v>
      </c>
      <c r="H12" s="59"/>
      <c r="I12" s="19"/>
    </row>
    <row r="13" spans="1:9" ht="15" customHeight="1" x14ac:dyDescent="0.25">
      <c r="A13" s="131"/>
      <c r="B13" s="132"/>
      <c r="C13" s="28" t="s">
        <v>135</v>
      </c>
      <c r="D13" s="54" t="str">
        <f t="shared" ref="D13" si="0">D10</f>
        <v>SA3 BÂTIMENT</v>
      </c>
      <c r="E13" s="180">
        <f>E12+1</f>
        <v>34</v>
      </c>
      <c r="F13" s="31"/>
      <c r="G13" s="30" t="s">
        <v>36</v>
      </c>
      <c r="H13" s="27"/>
      <c r="I13" s="19"/>
    </row>
    <row r="14" spans="1:9" ht="15" customHeight="1" x14ac:dyDescent="0.25">
      <c r="A14" s="131"/>
      <c r="B14" s="132"/>
      <c r="C14" s="55" t="s">
        <v>136</v>
      </c>
      <c r="D14" s="205" t="s">
        <v>68</v>
      </c>
      <c r="E14" s="204">
        <f>E13</f>
        <v>34</v>
      </c>
      <c r="F14" s="206"/>
      <c r="G14" s="58" t="s">
        <v>9</v>
      </c>
      <c r="H14" s="59"/>
      <c r="I14" s="19"/>
    </row>
    <row r="15" spans="1:9" x14ac:dyDescent="0.25">
      <c r="A15" s="131"/>
      <c r="B15" s="132"/>
      <c r="C15" s="28" t="s">
        <v>62</v>
      </c>
      <c r="D15" s="53" t="s">
        <v>64</v>
      </c>
      <c r="E15" s="24">
        <f>E10+4</f>
        <v>31</v>
      </c>
      <c r="F15" s="29"/>
      <c r="G15" s="30" t="s">
        <v>70</v>
      </c>
      <c r="H15" s="27"/>
      <c r="I15" s="19"/>
    </row>
    <row r="16" spans="1:9" x14ac:dyDescent="0.25">
      <c r="A16" s="131"/>
      <c r="B16" s="132"/>
      <c r="C16" s="28" t="s">
        <v>10</v>
      </c>
      <c r="D16" s="52" t="s">
        <v>64</v>
      </c>
      <c r="E16" s="24">
        <f>E10+1</f>
        <v>28</v>
      </c>
      <c r="F16" s="29"/>
      <c r="G16" s="30" t="s">
        <v>70</v>
      </c>
      <c r="H16" s="27"/>
      <c r="I16" s="19"/>
    </row>
    <row r="17" spans="1:9" x14ac:dyDescent="0.25">
      <c r="A17" s="131"/>
      <c r="B17" s="132"/>
      <c r="C17" s="28" t="s">
        <v>11</v>
      </c>
      <c r="D17" s="53" t="s">
        <v>176</v>
      </c>
      <c r="E17" s="24">
        <v>34</v>
      </c>
      <c r="F17" s="29"/>
      <c r="G17" s="30" t="s">
        <v>36</v>
      </c>
      <c r="H17" s="27"/>
      <c r="I17" s="19"/>
    </row>
    <row r="18" spans="1:9" x14ac:dyDescent="0.25">
      <c r="A18" s="144">
        <v>1802.04</v>
      </c>
      <c r="B18" s="143">
        <f>A18-1802.04</f>
        <v>0</v>
      </c>
      <c r="C18" s="28" t="s">
        <v>12</v>
      </c>
      <c r="D18" s="52" t="s">
        <v>41</v>
      </c>
      <c r="E18" s="180">
        <v>36</v>
      </c>
      <c r="F18" s="29"/>
      <c r="G18" s="30" t="s">
        <v>36</v>
      </c>
      <c r="H18" s="27"/>
      <c r="I18" s="19"/>
    </row>
    <row r="19" spans="1:9" x14ac:dyDescent="0.25">
      <c r="A19" s="131"/>
      <c r="B19" s="132"/>
      <c r="C19" s="28" t="s">
        <v>73</v>
      </c>
      <c r="D19" s="53" t="str">
        <f>D10</f>
        <v>SA3 BÂTIMENT</v>
      </c>
      <c r="E19" s="24">
        <f>IF(E18="","",MOD(E18+1,52))</f>
        <v>37</v>
      </c>
      <c r="F19" s="29"/>
      <c r="G19" s="30" t="s">
        <v>36</v>
      </c>
      <c r="H19" s="27"/>
      <c r="I19" s="19"/>
    </row>
    <row r="20" spans="1:9" x14ac:dyDescent="0.25">
      <c r="A20" s="149">
        <v>1065.05</v>
      </c>
      <c r="B20" s="143">
        <f>A20-1065.05</f>
        <v>0</v>
      </c>
      <c r="C20" s="28" t="s">
        <v>59</v>
      </c>
      <c r="D20" s="52" t="s">
        <v>41</v>
      </c>
      <c r="E20" s="24">
        <f>IF(E19="","",MOD(E19+1,52))</f>
        <v>38</v>
      </c>
      <c r="F20" s="29"/>
      <c r="G20" s="30" t="s">
        <v>36</v>
      </c>
      <c r="H20" s="27"/>
      <c r="I20" s="19"/>
    </row>
    <row r="21" spans="1:9" x14ac:dyDescent="0.25">
      <c r="A21" s="149">
        <v>1450.3</v>
      </c>
      <c r="B21" s="143">
        <f>A21-1450.3</f>
        <v>0</v>
      </c>
      <c r="C21" s="28" t="s">
        <v>60</v>
      </c>
      <c r="D21" s="54" t="s">
        <v>44</v>
      </c>
      <c r="E21" s="24">
        <f>E20</f>
        <v>38</v>
      </c>
      <c r="F21" s="29"/>
      <c r="G21" s="30" t="s">
        <v>36</v>
      </c>
      <c r="H21" s="50"/>
      <c r="I21" s="19"/>
    </row>
    <row r="22" spans="1:9" x14ac:dyDescent="0.25">
      <c r="A22" s="131"/>
      <c r="B22" s="132"/>
      <c r="C22" s="167" t="s">
        <v>13</v>
      </c>
      <c r="D22" s="168" t="s">
        <v>68</v>
      </c>
      <c r="E22" s="169">
        <f>E20</f>
        <v>38</v>
      </c>
      <c r="F22" s="170"/>
      <c r="G22" s="171" t="s">
        <v>70</v>
      </c>
      <c r="H22" s="172"/>
      <c r="I22" s="19"/>
    </row>
    <row r="23" spans="1:9" x14ac:dyDescent="0.25">
      <c r="A23" s="144">
        <v>3103.13</v>
      </c>
      <c r="B23" s="143">
        <f>A23-3103.13</f>
        <v>0</v>
      </c>
      <c r="C23" s="32" t="s">
        <v>138</v>
      </c>
      <c r="D23" s="52" t="s">
        <v>45</v>
      </c>
      <c r="E23" s="24">
        <f>IF(E20="","",MOD(E20+2,52))</f>
        <v>40</v>
      </c>
      <c r="F23" s="29"/>
      <c r="G23" s="30" t="s">
        <v>36</v>
      </c>
      <c r="H23" s="27"/>
      <c r="I23" s="19"/>
    </row>
    <row r="24" spans="1:9" x14ac:dyDescent="0.25">
      <c r="A24" s="131"/>
      <c r="B24" s="132"/>
      <c r="C24" s="28" t="s">
        <v>14</v>
      </c>
      <c r="D24" s="53" t="str">
        <f>D17</f>
        <v>INDUSTRIE SERVICE</v>
      </c>
      <c r="E24" s="24">
        <f>IF(E20="","",MOD(E20+2,52))</f>
        <v>40</v>
      </c>
      <c r="F24" s="29"/>
      <c r="G24" s="30" t="s">
        <v>36</v>
      </c>
      <c r="H24" s="27"/>
      <c r="I24" s="19"/>
    </row>
    <row r="25" spans="1:9" x14ac:dyDescent="0.25">
      <c r="A25" s="257"/>
      <c r="B25" s="143">
        <f>A25</f>
        <v>0</v>
      </c>
      <c r="C25" s="183" t="s">
        <v>137</v>
      </c>
      <c r="D25" s="53" t="s">
        <v>55</v>
      </c>
      <c r="E25" s="24">
        <v>42</v>
      </c>
      <c r="F25" s="29"/>
      <c r="G25" s="72" t="s">
        <v>9</v>
      </c>
      <c r="H25" s="27"/>
      <c r="I25" s="19"/>
    </row>
    <row r="26" spans="1:9" x14ac:dyDescent="0.25">
      <c r="A26" s="131"/>
      <c r="B26" s="132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145"/>
      <c r="B27" s="146"/>
      <c r="C27" s="387" t="s">
        <v>144</v>
      </c>
      <c r="D27" s="388"/>
      <c r="E27" s="388"/>
      <c r="F27" s="388"/>
      <c r="G27" s="388"/>
      <c r="H27" s="389"/>
      <c r="I27" s="19"/>
    </row>
    <row r="28" spans="1:9" ht="15.75" thickBot="1" x14ac:dyDescent="0.3">
      <c r="A28" s="131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44">
        <v>934.86</v>
      </c>
      <c r="B29" s="143">
        <f>A29</f>
        <v>934.86</v>
      </c>
      <c r="C29" s="78" t="s">
        <v>66</v>
      </c>
      <c r="D29" s="52" t="s">
        <v>49</v>
      </c>
      <c r="E29" s="79">
        <f>IF(E24="","",MOD(E24+1,52))</f>
        <v>41</v>
      </c>
      <c r="F29" s="25"/>
      <c r="G29" s="26" t="s">
        <v>36</v>
      </c>
      <c r="H29" s="27"/>
      <c r="I29" s="19"/>
    </row>
    <row r="30" spans="1:9" x14ac:dyDescent="0.25">
      <c r="A30" s="144">
        <v>1875.17</v>
      </c>
      <c r="B30" s="143">
        <f>A30</f>
        <v>1875.17</v>
      </c>
      <c r="C30" s="28" t="s">
        <v>67</v>
      </c>
      <c r="D30" s="53" t="s">
        <v>47</v>
      </c>
      <c r="E30" s="24">
        <f>IF(E29="","",MOD(E29+1,52))</f>
        <v>42</v>
      </c>
      <c r="F30" s="29"/>
      <c r="G30" s="30" t="s">
        <v>36</v>
      </c>
      <c r="H30" s="27"/>
      <c r="I30" s="19"/>
    </row>
    <row r="31" spans="1:9" x14ac:dyDescent="0.25">
      <c r="A31" s="131"/>
      <c r="B31" s="132"/>
      <c r="C31" s="62" t="s">
        <v>16</v>
      </c>
      <c r="D31" s="52" t="str">
        <f>D29</f>
        <v>BENELEC</v>
      </c>
      <c r="E31" s="24">
        <v>43</v>
      </c>
      <c r="F31" s="29"/>
      <c r="G31" s="30"/>
      <c r="H31" s="27"/>
      <c r="I31" s="19"/>
    </row>
    <row r="32" spans="1:9" x14ac:dyDescent="0.25">
      <c r="A32" s="144">
        <v>461.87</v>
      </c>
      <c r="B32" s="143">
        <f>A32</f>
        <v>461.87</v>
      </c>
      <c r="C32" s="80" t="s">
        <v>17</v>
      </c>
      <c r="D32" s="53" t="s">
        <v>128</v>
      </c>
      <c r="E32" s="24">
        <f>IF(E30="","",MOD(E30+2,52))</f>
        <v>44</v>
      </c>
      <c r="F32" s="29"/>
      <c r="G32" s="30"/>
      <c r="H32" s="27"/>
      <c r="I32" s="19"/>
    </row>
    <row r="33" spans="1:9" x14ac:dyDescent="0.25">
      <c r="A33" s="143"/>
      <c r="B33" s="143"/>
      <c r="C33" s="62" t="s">
        <v>140</v>
      </c>
      <c r="D33" s="52" t="s">
        <v>128</v>
      </c>
      <c r="E33" s="24">
        <f>IF(E32="","",MOD(E32+1,52))</f>
        <v>45</v>
      </c>
      <c r="F33" s="29"/>
      <c r="G33" s="30"/>
      <c r="H33" s="27"/>
      <c r="I33" s="19"/>
    </row>
    <row r="34" spans="1:9" x14ac:dyDescent="0.25">
      <c r="A34" s="144">
        <v>2100.6</v>
      </c>
      <c r="B34" s="143">
        <f>A34</f>
        <v>2100.6</v>
      </c>
      <c r="C34" s="28" t="s">
        <v>141</v>
      </c>
      <c r="D34" s="53" t="s">
        <v>128</v>
      </c>
      <c r="E34" s="24">
        <f>IF(E32="","",MOD(E32+1,52))</f>
        <v>45</v>
      </c>
      <c r="F34" s="29"/>
      <c r="G34" s="30"/>
      <c r="H34" s="27"/>
      <c r="I34" s="19"/>
    </row>
    <row r="35" spans="1:9" x14ac:dyDescent="0.25">
      <c r="A35" s="131"/>
      <c r="B35" s="13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257"/>
      <c r="B36" s="143">
        <f>A36</f>
        <v>0</v>
      </c>
      <c r="C36" s="28" t="s">
        <v>19</v>
      </c>
      <c r="D36" s="53" t="s">
        <v>53</v>
      </c>
      <c r="E36" s="24">
        <f>IF(E34="","",MOD(E34+1,52))</f>
        <v>46</v>
      </c>
      <c r="F36" s="29"/>
      <c r="G36" s="30"/>
      <c r="H36" s="27"/>
      <c r="I36" s="19"/>
    </row>
    <row r="37" spans="1:9" x14ac:dyDescent="0.25">
      <c r="A37" s="131"/>
      <c r="B37" s="132"/>
      <c r="C37" s="28" t="s">
        <v>20</v>
      </c>
      <c r="D37" s="52" t="str">
        <f>D30</f>
        <v>SOARES</v>
      </c>
      <c r="E37" s="24">
        <f>IF(E36="","",MOD(E36+1,52))</f>
        <v>47</v>
      </c>
      <c r="F37" s="29"/>
      <c r="G37" s="30"/>
      <c r="H37" s="27"/>
      <c r="I37" s="19"/>
    </row>
    <row r="38" spans="1:9" x14ac:dyDescent="0.25">
      <c r="A38" s="131"/>
      <c r="B38" s="132"/>
      <c r="C38" s="28" t="s">
        <v>21</v>
      </c>
      <c r="D38" s="53" t="str">
        <f>D29</f>
        <v>BENELEC</v>
      </c>
      <c r="E38" s="24">
        <f>IF(E37="","",MOD(E37+1,52))</f>
        <v>48</v>
      </c>
      <c r="F38" s="29"/>
      <c r="G38" s="30" t="s">
        <v>9</v>
      </c>
      <c r="H38" s="27"/>
      <c r="I38" s="19"/>
    </row>
    <row r="39" spans="1:9" x14ac:dyDescent="0.25">
      <c r="A39" s="131"/>
      <c r="B39" s="132"/>
      <c r="C39" s="28" t="s">
        <v>22</v>
      </c>
      <c r="D39" s="52" t="str">
        <f>D32</f>
        <v>MEYER</v>
      </c>
      <c r="E39" s="24">
        <f>IF(E37="","",MOD(E37+1,52))</f>
        <v>48</v>
      </c>
      <c r="F39" s="29"/>
      <c r="G39" s="30"/>
      <c r="H39" s="27"/>
      <c r="I39" s="19"/>
    </row>
    <row r="40" spans="1:9" x14ac:dyDescent="0.25">
      <c r="A40" s="257"/>
      <c r="B40" s="143"/>
      <c r="C40" s="28" t="s">
        <v>23</v>
      </c>
      <c r="D40" s="53" t="s">
        <v>53</v>
      </c>
      <c r="E40" s="24">
        <f>E36+4</f>
        <v>50</v>
      </c>
      <c r="F40" s="29"/>
      <c r="G40" s="30" t="s">
        <v>9</v>
      </c>
      <c r="H40" s="27"/>
      <c r="I40" s="19"/>
    </row>
    <row r="41" spans="1:9" x14ac:dyDescent="0.25">
      <c r="A41" s="131"/>
      <c r="B41" s="132"/>
      <c r="C41" s="28" t="s">
        <v>24</v>
      </c>
      <c r="D41" s="52" t="s">
        <v>64</v>
      </c>
      <c r="E41" s="24">
        <f>E39+1</f>
        <v>49</v>
      </c>
      <c r="F41" s="29"/>
      <c r="G41" s="30" t="s">
        <v>70</v>
      </c>
      <c r="H41" s="27"/>
      <c r="I41" s="19"/>
    </row>
    <row r="42" spans="1:9" x14ac:dyDescent="0.25">
      <c r="A42" s="131"/>
      <c r="B42" s="132"/>
      <c r="C42" s="28" t="s">
        <v>25</v>
      </c>
      <c r="D42" s="53" t="str">
        <f>D34</f>
        <v>MEYER</v>
      </c>
      <c r="E42" s="24">
        <f>IF(E40="","",MOD(E40+2,52))</f>
        <v>0</v>
      </c>
      <c r="F42" s="29"/>
      <c r="G42" s="30"/>
      <c r="H42" s="27"/>
      <c r="I42" s="19"/>
    </row>
    <row r="43" spans="1:9" x14ac:dyDescent="0.25">
      <c r="A43" s="143"/>
      <c r="B43" s="143">
        <f>A43</f>
        <v>0</v>
      </c>
      <c r="C43" s="81" t="s">
        <v>147</v>
      </c>
      <c r="D43" s="52" t="str">
        <f>D44</f>
        <v>BECHTEL</v>
      </c>
      <c r="E43" s="82">
        <f>E44</f>
        <v>0</v>
      </c>
      <c r="F43" s="83"/>
      <c r="G43" s="72"/>
      <c r="H43" s="27"/>
      <c r="I43" s="19"/>
    </row>
    <row r="44" spans="1:9" x14ac:dyDescent="0.25">
      <c r="A44" s="143"/>
      <c r="B44" s="143">
        <f>A44</f>
        <v>0</v>
      </c>
      <c r="C44" s="81" t="s">
        <v>139</v>
      </c>
      <c r="D44" s="193" t="s">
        <v>54</v>
      </c>
      <c r="E44" s="82">
        <f>IF(E40="","",MOD(E40+2,52))</f>
        <v>0</v>
      </c>
      <c r="F44" s="83"/>
      <c r="G44" s="72"/>
      <c r="H44" s="194"/>
      <c r="I44" s="19"/>
    </row>
    <row r="45" spans="1:9" x14ac:dyDescent="0.25">
      <c r="A45" s="131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145"/>
      <c r="B46" s="146"/>
      <c r="C46" s="387" t="s">
        <v>146</v>
      </c>
      <c r="D46" s="388"/>
      <c r="E46" s="388"/>
      <c r="F46" s="388"/>
      <c r="G46" s="388"/>
      <c r="H46" s="389"/>
      <c r="I46" s="19"/>
    </row>
    <row r="47" spans="1:9" ht="15.75" thickBot="1" x14ac:dyDescent="0.3">
      <c r="A47" s="131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143"/>
      <c r="B48" s="143">
        <f>A48</f>
        <v>0</v>
      </c>
      <c r="C48" s="88" t="s">
        <v>26</v>
      </c>
      <c r="D48" s="52" t="s">
        <v>65</v>
      </c>
      <c r="E48" s="89">
        <f>E32+1</f>
        <v>45</v>
      </c>
      <c r="F48" s="25"/>
      <c r="G48" s="26"/>
      <c r="H48" s="27"/>
      <c r="I48" s="19"/>
    </row>
    <row r="49" spans="1:9" x14ac:dyDescent="0.25">
      <c r="A49" s="133"/>
      <c r="B49" s="173"/>
      <c r="C49" s="102" t="s">
        <v>69</v>
      </c>
      <c r="D49" s="103" t="s">
        <v>64</v>
      </c>
      <c r="E49" s="104">
        <f>E48</f>
        <v>45</v>
      </c>
      <c r="F49" s="105"/>
      <c r="G49" s="106" t="s">
        <v>70</v>
      </c>
      <c r="H49" s="27"/>
      <c r="I49" s="19"/>
    </row>
    <row r="50" spans="1:9" x14ac:dyDescent="0.25">
      <c r="A50" s="133"/>
      <c r="B50" s="173"/>
      <c r="C50" s="92" t="s">
        <v>61</v>
      </c>
      <c r="D50" s="99" t="s">
        <v>68</v>
      </c>
      <c r="E50" s="101">
        <f>E48+1</f>
        <v>46</v>
      </c>
      <c r="F50" s="95"/>
      <c r="G50" s="96" t="s">
        <v>9</v>
      </c>
      <c r="H50" s="97"/>
      <c r="I50" s="19"/>
    </row>
    <row r="51" spans="1:9" x14ac:dyDescent="0.25">
      <c r="A51" s="133">
        <f>SUM(A12:A50)</f>
        <v>31376.389999999996</v>
      </c>
      <c r="B51" s="133">
        <f>SUM(B12:B50)</f>
        <v>5372.5</v>
      </c>
      <c r="C51" s="91" t="s">
        <v>27</v>
      </c>
      <c r="D51" s="52" t="str">
        <f>D48</f>
        <v>_</v>
      </c>
      <c r="E51" s="90">
        <f>E48+3</f>
        <v>48</v>
      </c>
      <c r="F51" s="29"/>
      <c r="G51" s="72"/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7" t="s">
        <v>142</v>
      </c>
      <c r="I54" s="19"/>
    </row>
    <row r="55" spans="1:9" x14ac:dyDescent="0.25">
      <c r="A55" s="42"/>
      <c r="B55" s="126"/>
      <c r="C55" s="43" t="s">
        <v>122</v>
      </c>
      <c r="D55" s="107">
        <v>43181</v>
      </c>
      <c r="E55" s="44"/>
      <c r="F55" s="45" t="s">
        <v>109</v>
      </c>
      <c r="G55" s="18"/>
      <c r="H55" s="398"/>
      <c r="I55" s="19"/>
    </row>
    <row r="56" spans="1:9" x14ac:dyDescent="0.25">
      <c r="A56" s="42"/>
      <c r="B56" s="126"/>
      <c r="C56" s="33" t="s">
        <v>123</v>
      </c>
      <c r="D56" s="49">
        <v>43224</v>
      </c>
      <c r="E56" s="46"/>
      <c r="F56" s="2" t="s">
        <v>109</v>
      </c>
      <c r="G56" s="18"/>
      <c r="H56" s="399" t="e">
        <f>DATEDIF(E3,D58,"m")&amp;"mois"&amp;DATEDIF(E3,D58,"md")&amp;"jours"</f>
        <v>#NUM!</v>
      </c>
      <c r="I56" s="19"/>
    </row>
    <row r="57" spans="1:9" ht="15.75" thickBot="1" x14ac:dyDescent="0.3">
      <c r="A57" s="42"/>
      <c r="B57" s="126"/>
      <c r="C57" s="33" t="s">
        <v>31</v>
      </c>
      <c r="D57" s="176"/>
      <c r="E57" s="46"/>
      <c r="F57" s="2"/>
      <c r="G57" s="18"/>
      <c r="H57" s="400"/>
      <c r="I57" s="19"/>
    </row>
    <row r="58" spans="1:9" x14ac:dyDescent="0.25">
      <c r="A58" s="42"/>
      <c r="B58" s="126"/>
      <c r="C58" s="47" t="s">
        <v>32</v>
      </c>
      <c r="D58" s="184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1"/>
      <c r="D60" s="371"/>
      <c r="E60" s="371"/>
      <c r="F60" s="371"/>
      <c r="G60" s="371"/>
      <c r="H60" s="371"/>
      <c r="I60" s="372"/>
    </row>
    <row r="61" spans="1:9" x14ac:dyDescent="0.25">
      <c r="A61" s="34"/>
      <c r="B61" s="18"/>
      <c r="C61" s="373"/>
      <c r="D61" s="373"/>
      <c r="E61" s="373"/>
      <c r="F61" s="373"/>
      <c r="G61" s="373"/>
      <c r="H61" s="373"/>
      <c r="I61" s="374"/>
    </row>
    <row r="62" spans="1:9" x14ac:dyDescent="0.25">
      <c r="A62" s="34"/>
      <c r="B62" s="18"/>
      <c r="C62" s="373"/>
      <c r="D62" s="373"/>
      <c r="E62" s="373"/>
      <c r="F62" s="373"/>
      <c r="G62" s="373"/>
      <c r="H62" s="373"/>
      <c r="I62" s="374"/>
    </row>
    <row r="63" spans="1:9" x14ac:dyDescent="0.25">
      <c r="A63" s="34"/>
      <c r="B63" s="18"/>
      <c r="C63" s="373"/>
      <c r="D63" s="373"/>
      <c r="E63" s="373"/>
      <c r="F63" s="373"/>
      <c r="G63" s="373"/>
      <c r="H63" s="373"/>
      <c r="I63" s="374"/>
    </row>
    <row r="64" spans="1:9" x14ac:dyDescent="0.25">
      <c r="A64" s="34"/>
      <c r="B64" s="18"/>
      <c r="C64" s="373"/>
      <c r="D64" s="373"/>
      <c r="E64" s="373"/>
      <c r="F64" s="373"/>
      <c r="G64" s="373"/>
      <c r="H64" s="373"/>
      <c r="I64" s="374"/>
    </row>
    <row r="65" spans="1:9" x14ac:dyDescent="0.25">
      <c r="A65" s="44"/>
      <c r="B65" s="45"/>
      <c r="C65" s="375"/>
      <c r="D65" s="375"/>
      <c r="E65" s="375"/>
      <c r="F65" s="375"/>
      <c r="G65" s="375"/>
      <c r="H65" s="375"/>
      <c r="I65" s="376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A1:G1"/>
    <mergeCell ref="A2:B2"/>
    <mergeCell ref="E2:F2"/>
    <mergeCell ref="H2:I2"/>
    <mergeCell ref="A3:B3"/>
    <mergeCell ref="E3:F3"/>
    <mergeCell ref="H3:I3"/>
    <mergeCell ref="H54:H55"/>
    <mergeCell ref="H56:H57"/>
    <mergeCell ref="C60:I65"/>
    <mergeCell ref="E4:F4"/>
    <mergeCell ref="A5:B5"/>
    <mergeCell ref="A6:B6"/>
    <mergeCell ref="C6:H6"/>
    <mergeCell ref="C27:H27"/>
    <mergeCell ref="C46:H46"/>
  </mergeCells>
  <conditionalFormatting sqref="C52:G52">
    <cfRule type="expression" dxfId="1156" priority="70">
      <formula>$F52="réalisé"</formula>
    </cfRule>
  </conditionalFormatting>
  <conditionalFormatting sqref="C48:C51 E48:H51 E29:H45 C8:H26">
    <cfRule type="expression" dxfId="1155" priority="67">
      <formula>$G8="réalisé"</formula>
    </cfRule>
    <cfRule type="expression" dxfId="1154" priority="68">
      <formula>$G8="en cours"</formula>
    </cfRule>
    <cfRule type="expression" dxfId="1153" priority="69">
      <formula>$G8="non compris"</formula>
    </cfRule>
  </conditionalFormatting>
  <conditionalFormatting sqref="C29:C45">
    <cfRule type="expression" dxfId="1152" priority="64">
      <formula>$G29="réalisé"</formula>
    </cfRule>
    <cfRule type="expression" dxfId="1151" priority="65">
      <formula>$G29="en cours"</formula>
    </cfRule>
    <cfRule type="expression" dxfId="1150" priority="66">
      <formula>$G29="non compris"</formula>
    </cfRule>
  </conditionalFormatting>
  <conditionalFormatting sqref="C55:F58">
    <cfRule type="expression" dxfId="1149" priority="63">
      <formula>$F55="réalisé"</formula>
    </cfRule>
  </conditionalFormatting>
  <conditionalFormatting sqref="G9">
    <cfRule type="expression" dxfId="1148" priority="62">
      <formula>$G$10="réalisé"</formula>
    </cfRule>
  </conditionalFormatting>
  <conditionalFormatting sqref="G10:G14">
    <cfRule type="expression" dxfId="1147" priority="61">
      <formula>$G$15="réalisé"</formula>
    </cfRule>
  </conditionalFormatting>
  <conditionalFormatting sqref="G20:G21">
    <cfRule type="expression" dxfId="1146" priority="60">
      <formula>$G$22="réalisé"</formula>
    </cfRule>
  </conditionalFormatting>
  <conditionalFormatting sqref="G30">
    <cfRule type="expression" dxfId="1145" priority="59">
      <formula>$G$31="réalisé"</formula>
    </cfRule>
  </conditionalFormatting>
  <conditionalFormatting sqref="D29">
    <cfRule type="expression" dxfId="1144" priority="56">
      <formula>$G29="réalisé"</formula>
    </cfRule>
    <cfRule type="expression" dxfId="1143" priority="57">
      <formula>$G29="en cours"</formula>
    </cfRule>
    <cfRule type="expression" dxfId="1142" priority="58">
      <formula>$G29="non compris"</formula>
    </cfRule>
  </conditionalFormatting>
  <conditionalFormatting sqref="D31">
    <cfRule type="expression" dxfId="1141" priority="53">
      <formula>$G31="réalisé"</formula>
    </cfRule>
    <cfRule type="expression" dxfId="1140" priority="54">
      <formula>$G31="en cours"</formula>
    </cfRule>
    <cfRule type="expression" dxfId="1139" priority="55">
      <formula>$G31="non compris"</formula>
    </cfRule>
  </conditionalFormatting>
  <conditionalFormatting sqref="D33">
    <cfRule type="expression" dxfId="1138" priority="50">
      <formula>$G33="réalisé"</formula>
    </cfRule>
    <cfRule type="expression" dxfId="1137" priority="51">
      <formula>$G33="en cours"</formula>
    </cfRule>
    <cfRule type="expression" dxfId="1136" priority="52">
      <formula>$G33="non compris"</formula>
    </cfRule>
  </conditionalFormatting>
  <conditionalFormatting sqref="D35">
    <cfRule type="expression" dxfId="1135" priority="47">
      <formula>$G35="réalisé"</formula>
    </cfRule>
    <cfRule type="expression" dxfId="1134" priority="48">
      <formula>$G35="en cours"</formula>
    </cfRule>
    <cfRule type="expression" dxfId="1133" priority="49">
      <formula>$G35="non compris"</formula>
    </cfRule>
  </conditionalFormatting>
  <conditionalFormatting sqref="D37">
    <cfRule type="expression" dxfId="1132" priority="44">
      <formula>$G37="réalisé"</formula>
    </cfRule>
    <cfRule type="expression" dxfId="1131" priority="45">
      <formula>$G37="en cours"</formula>
    </cfRule>
    <cfRule type="expression" dxfId="1130" priority="46">
      <formula>$G37="non compris"</formula>
    </cfRule>
  </conditionalFormatting>
  <conditionalFormatting sqref="D39">
    <cfRule type="expression" dxfId="1129" priority="41">
      <formula>$G39="réalisé"</formula>
    </cfRule>
    <cfRule type="expression" dxfId="1128" priority="42">
      <formula>$G39="en cours"</formula>
    </cfRule>
    <cfRule type="expression" dxfId="1127" priority="43">
      <formula>$G39="non compris"</formula>
    </cfRule>
  </conditionalFormatting>
  <conditionalFormatting sqref="D41">
    <cfRule type="expression" dxfId="1126" priority="38">
      <formula>$G41="réalisé"</formula>
    </cfRule>
    <cfRule type="expression" dxfId="1125" priority="39">
      <formula>$G41="en cours"</formula>
    </cfRule>
    <cfRule type="expression" dxfId="1124" priority="40">
      <formula>$G41="non compris"</formula>
    </cfRule>
  </conditionalFormatting>
  <conditionalFormatting sqref="D44:D45">
    <cfRule type="expression" dxfId="1123" priority="35">
      <formula>$G44="réalisé"</formula>
    </cfRule>
    <cfRule type="expression" dxfId="1122" priority="36">
      <formula>$G44="en cours"</formula>
    </cfRule>
    <cfRule type="expression" dxfId="1121" priority="37">
      <formula>$G44="non compris"</formula>
    </cfRule>
  </conditionalFormatting>
  <conditionalFormatting sqref="D30">
    <cfRule type="expression" dxfId="1120" priority="32">
      <formula>$G30="réalisé"</formula>
    </cfRule>
    <cfRule type="expression" dxfId="1119" priority="33">
      <formula>$G30="en cours"</formula>
    </cfRule>
    <cfRule type="expression" dxfId="1118" priority="34">
      <formula>$G30="non compris"</formula>
    </cfRule>
  </conditionalFormatting>
  <conditionalFormatting sqref="D32">
    <cfRule type="expression" dxfId="1117" priority="29">
      <formula>$G32="réalisé"</formula>
    </cfRule>
    <cfRule type="expression" dxfId="1116" priority="30">
      <formula>$G32="en cours"</formula>
    </cfRule>
    <cfRule type="expression" dxfId="1115" priority="31">
      <formula>$G32="non compris"</formula>
    </cfRule>
  </conditionalFormatting>
  <conditionalFormatting sqref="D34">
    <cfRule type="expression" dxfId="1114" priority="26">
      <formula>$G34="réalisé"</formula>
    </cfRule>
    <cfRule type="expression" dxfId="1113" priority="27">
      <formula>$G34="en cours"</formula>
    </cfRule>
    <cfRule type="expression" dxfId="1112" priority="28">
      <formula>$G34="non compris"</formula>
    </cfRule>
  </conditionalFormatting>
  <conditionalFormatting sqref="D36">
    <cfRule type="expression" dxfId="1111" priority="23">
      <formula>$G36="réalisé"</formula>
    </cfRule>
    <cfRule type="expression" dxfId="1110" priority="24">
      <formula>$G36="en cours"</formula>
    </cfRule>
    <cfRule type="expression" dxfId="1109" priority="25">
      <formula>$G36="non compris"</formula>
    </cfRule>
  </conditionalFormatting>
  <conditionalFormatting sqref="D38">
    <cfRule type="expression" dxfId="1108" priority="20">
      <formula>$G38="réalisé"</formula>
    </cfRule>
    <cfRule type="expression" dxfId="1107" priority="21">
      <formula>$G38="en cours"</formula>
    </cfRule>
    <cfRule type="expression" dxfId="1106" priority="22">
      <formula>$G38="non compris"</formula>
    </cfRule>
  </conditionalFormatting>
  <conditionalFormatting sqref="D40">
    <cfRule type="expression" dxfId="1105" priority="17">
      <formula>$G40="réalisé"</formula>
    </cfRule>
    <cfRule type="expression" dxfId="1104" priority="18">
      <formula>$G40="en cours"</formula>
    </cfRule>
    <cfRule type="expression" dxfId="1103" priority="19">
      <formula>$G40="non compris"</formula>
    </cfRule>
  </conditionalFormatting>
  <conditionalFormatting sqref="D42:D43">
    <cfRule type="expression" dxfId="1102" priority="14">
      <formula>$G42="réalisé"</formula>
    </cfRule>
    <cfRule type="expression" dxfId="1101" priority="15">
      <formula>$G42="en cours"</formula>
    </cfRule>
    <cfRule type="expression" dxfId="1100" priority="16">
      <formula>$G42="non compris"</formula>
    </cfRule>
  </conditionalFormatting>
  <conditionalFormatting sqref="D50">
    <cfRule type="expression" dxfId="1099" priority="11">
      <formula>$G50="réalisé"</formula>
    </cfRule>
    <cfRule type="expression" dxfId="1098" priority="12">
      <formula>$G50="en cours"</formula>
    </cfRule>
    <cfRule type="expression" dxfId="1097" priority="13">
      <formula>$G50="non compris"</formula>
    </cfRule>
  </conditionalFormatting>
  <conditionalFormatting sqref="D49">
    <cfRule type="expression" dxfId="1096" priority="8">
      <formula>$G49="réalisé"</formula>
    </cfRule>
    <cfRule type="expression" dxfId="1095" priority="9">
      <formula>$G49="en cours"</formula>
    </cfRule>
    <cfRule type="expression" dxfId="1094" priority="10">
      <formula>$G49="non compris"</formula>
    </cfRule>
  </conditionalFormatting>
  <conditionalFormatting sqref="D48">
    <cfRule type="expression" dxfId="1093" priority="5">
      <formula>$G48="réalisé"</formula>
    </cfRule>
    <cfRule type="expression" dxfId="1092" priority="6">
      <formula>$G48="en cours"</formula>
    </cfRule>
    <cfRule type="expression" dxfId="1091" priority="7">
      <formula>$G48="non compris"</formula>
    </cfRule>
  </conditionalFormatting>
  <conditionalFormatting sqref="D51">
    <cfRule type="expression" dxfId="1090" priority="2">
      <formula>$G51="réalisé"</formula>
    </cfRule>
    <cfRule type="expression" dxfId="1089" priority="3">
      <formula>$G51="en cours"</formula>
    </cfRule>
    <cfRule type="expression" dxfId="1088" priority="4">
      <formula>$G51="non compris"</formula>
    </cfRule>
  </conditionalFormatting>
  <conditionalFormatting sqref="D8:D26">
    <cfRule type="expression" dxfId="1087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79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tabColor rgb="FF00B050"/>
    <pageSetUpPr fitToPage="1"/>
  </sheetPr>
  <dimension ref="A1:I74"/>
  <sheetViews>
    <sheetView topLeftCell="A19" zoomScaleNormal="100" workbookViewId="0">
      <selection activeCell="E25" sqref="E25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7" t="s">
        <v>0</v>
      </c>
      <c r="B1" s="378"/>
      <c r="C1" s="378"/>
      <c r="D1" s="378"/>
      <c r="E1" s="378"/>
      <c r="F1" s="378"/>
      <c r="G1" s="378"/>
      <c r="H1" s="1" t="s">
        <v>1</v>
      </c>
      <c r="I1" s="3">
        <f ca="1">INT(MOD(INT((LISTE!D1-2)/7)+0.6,52+5/28))+1</f>
        <v>41</v>
      </c>
    </row>
    <row r="2" spans="1:9" x14ac:dyDescent="0.25">
      <c r="A2" s="390" t="s">
        <v>2</v>
      </c>
      <c r="B2" s="391"/>
      <c r="C2" s="70" t="str">
        <f ca="1">MID(CELL("nomfichier",A1),FIND("]",CELL("nomfichier",A1),1)+1,30)</f>
        <v>ROMILLY</v>
      </c>
      <c r="D2" s="4" t="s">
        <v>72</v>
      </c>
      <c r="E2" s="379">
        <v>42985</v>
      </c>
      <c r="F2" s="379"/>
      <c r="G2" s="5"/>
      <c r="H2" s="380" t="s">
        <v>143</v>
      </c>
      <c r="I2" s="381"/>
    </row>
    <row r="3" spans="1:9" ht="15.75" x14ac:dyDescent="0.25">
      <c r="A3" s="392" t="s">
        <v>106</v>
      </c>
      <c r="B3" s="384"/>
      <c r="C3" s="6" t="s">
        <v>151</v>
      </c>
      <c r="D3" s="7" t="s">
        <v>3</v>
      </c>
      <c r="E3" s="382">
        <v>43154</v>
      </c>
      <c r="F3" s="383"/>
      <c r="G3" s="8"/>
      <c r="H3" s="384" t="str">
        <f ca="1">DATEDIF(E3,TODAY(),"m")&amp;"mois"&amp;-DATEDIF(E3,TODAY(),"md")&amp;"jours"</f>
        <v>7mois-19jours</v>
      </c>
      <c r="I3" s="385"/>
    </row>
    <row r="4" spans="1:9" ht="18.75" x14ac:dyDescent="0.25">
      <c r="A4" s="69" t="s">
        <v>117</v>
      </c>
      <c r="B4" s="129"/>
      <c r="C4" s="9" t="s">
        <v>120</v>
      </c>
      <c r="D4" s="10" t="s">
        <v>4</v>
      </c>
      <c r="E4" s="386">
        <f>E3+60</f>
        <v>43214</v>
      </c>
      <c r="F4" s="386"/>
      <c r="G4" s="11"/>
      <c r="H4" s="12"/>
      <c r="I4" s="13"/>
    </row>
    <row r="5" spans="1:9" x14ac:dyDescent="0.25">
      <c r="A5" s="393" t="s">
        <v>76</v>
      </c>
      <c r="B5" s="394"/>
      <c r="C5" s="15"/>
      <c r="D5" s="16"/>
      <c r="E5" s="15"/>
      <c r="F5" s="15"/>
      <c r="G5" s="17"/>
      <c r="H5" s="18"/>
      <c r="I5" s="19"/>
    </row>
    <row r="6" spans="1:9" ht="18.75" x14ac:dyDescent="0.3">
      <c r="A6" s="395" t="s">
        <v>75</v>
      </c>
      <c r="B6" s="396"/>
      <c r="C6" s="387" t="s">
        <v>145</v>
      </c>
      <c r="D6" s="388"/>
      <c r="E6" s="388"/>
      <c r="F6" s="388"/>
      <c r="G6" s="388"/>
      <c r="H6" s="389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22"/>
      <c r="B8" s="200"/>
      <c r="C8" s="28" t="s">
        <v>124</v>
      </c>
      <c r="D8" s="52" t="s">
        <v>38</v>
      </c>
      <c r="E8" s="180">
        <v>9</v>
      </c>
      <c r="F8" s="25"/>
      <c r="G8" s="26" t="s">
        <v>36</v>
      </c>
      <c r="H8" s="27"/>
      <c r="I8" s="19"/>
    </row>
    <row r="9" spans="1:9" x14ac:dyDescent="0.25">
      <c r="A9" s="122"/>
      <c r="B9" s="130"/>
      <c r="C9" s="28" t="s">
        <v>131</v>
      </c>
      <c r="D9" s="53" t="str">
        <f>D8</f>
        <v>TEMA</v>
      </c>
      <c r="E9" s="181">
        <f>E8+1</f>
        <v>10</v>
      </c>
      <c r="F9" s="29"/>
      <c r="G9" s="30" t="s">
        <v>36</v>
      </c>
      <c r="H9" s="27"/>
      <c r="I9" s="19"/>
    </row>
    <row r="10" spans="1:9" ht="15" customHeight="1" x14ac:dyDescent="0.25">
      <c r="A10" s="131"/>
      <c r="B10" s="182"/>
      <c r="C10" s="28" t="s">
        <v>132</v>
      </c>
      <c r="D10" s="52" t="str">
        <f>D9</f>
        <v>TEMA</v>
      </c>
      <c r="E10" s="180">
        <v>11</v>
      </c>
      <c r="F10" s="31"/>
      <c r="G10" s="30" t="s">
        <v>36</v>
      </c>
      <c r="H10" s="27"/>
      <c r="I10" s="19"/>
    </row>
    <row r="11" spans="1:9" ht="15" customHeight="1" x14ac:dyDescent="0.25">
      <c r="A11" s="131"/>
      <c r="B11" s="132"/>
      <c r="C11" s="28" t="s">
        <v>133</v>
      </c>
      <c r="D11" s="54" t="str">
        <f>D8</f>
        <v>TEMA</v>
      </c>
      <c r="E11" s="180">
        <f>E10+1</f>
        <v>12</v>
      </c>
      <c r="F11" s="31"/>
      <c r="G11" s="30" t="s">
        <v>36</v>
      </c>
      <c r="H11" s="27"/>
      <c r="I11" s="19"/>
    </row>
    <row r="12" spans="1:9" ht="15" customHeight="1" x14ac:dyDescent="0.25">
      <c r="A12" s="144">
        <v>16439.900000000001</v>
      </c>
      <c r="B12" s="143">
        <f>A12-9863.94-6575.96</f>
        <v>0</v>
      </c>
      <c r="C12" s="28" t="s">
        <v>134</v>
      </c>
      <c r="D12" s="54" t="str">
        <f t="shared" ref="D12:D14" si="0">D9</f>
        <v>TEMA</v>
      </c>
      <c r="E12" s="180">
        <f>E11+2</f>
        <v>14</v>
      </c>
      <c r="F12" s="31"/>
      <c r="G12" s="30" t="s">
        <v>36</v>
      </c>
      <c r="H12" s="27"/>
      <c r="I12" s="19"/>
    </row>
    <row r="13" spans="1:9" ht="15" customHeight="1" x14ac:dyDescent="0.25">
      <c r="A13" s="131"/>
      <c r="B13" s="132"/>
      <c r="C13" s="28" t="s">
        <v>135</v>
      </c>
      <c r="D13" s="54" t="str">
        <f t="shared" si="0"/>
        <v>TEMA</v>
      </c>
      <c r="E13" s="180">
        <v>21</v>
      </c>
      <c r="F13" s="31"/>
      <c r="G13" s="30" t="s">
        <v>36</v>
      </c>
      <c r="H13" s="27"/>
      <c r="I13" s="19"/>
    </row>
    <row r="14" spans="1:9" ht="15" customHeight="1" x14ac:dyDescent="0.25">
      <c r="A14" s="131"/>
      <c r="B14" s="132"/>
      <c r="C14" s="28"/>
      <c r="D14" s="54" t="str">
        <f t="shared" si="0"/>
        <v>TEMA</v>
      </c>
      <c r="E14" s="180">
        <v>29</v>
      </c>
      <c r="F14" s="31"/>
      <c r="G14" s="30" t="s">
        <v>36</v>
      </c>
      <c r="H14" s="27" t="s">
        <v>251</v>
      </c>
      <c r="I14" s="19"/>
    </row>
    <row r="15" spans="1:9" x14ac:dyDescent="0.25">
      <c r="A15" s="131"/>
      <c r="B15" s="132"/>
      <c r="C15" s="28" t="s">
        <v>62</v>
      </c>
      <c r="D15" s="53" t="s">
        <v>64</v>
      </c>
      <c r="E15" s="24">
        <f>E10+4</f>
        <v>15</v>
      </c>
      <c r="F15" s="29"/>
      <c r="G15" s="30" t="s">
        <v>70</v>
      </c>
      <c r="H15" s="27"/>
      <c r="I15" s="19"/>
    </row>
    <row r="16" spans="1:9" x14ac:dyDescent="0.25">
      <c r="A16" s="131"/>
      <c r="B16" s="132"/>
      <c r="C16" s="28" t="s">
        <v>10</v>
      </c>
      <c r="D16" s="52" t="s">
        <v>64</v>
      </c>
      <c r="E16" s="24">
        <f>E10+1</f>
        <v>12</v>
      </c>
      <c r="F16" s="29"/>
      <c r="G16" s="30" t="s">
        <v>70</v>
      </c>
      <c r="H16" s="27"/>
      <c r="I16" s="19"/>
    </row>
    <row r="17" spans="1:9" x14ac:dyDescent="0.25">
      <c r="A17" s="131"/>
      <c r="B17" s="132"/>
      <c r="C17" s="28" t="s">
        <v>11</v>
      </c>
      <c r="D17" s="53" t="s">
        <v>38</v>
      </c>
      <c r="E17" s="24">
        <v>22</v>
      </c>
      <c r="F17" s="29"/>
      <c r="G17" s="30" t="s">
        <v>36</v>
      </c>
      <c r="H17" s="27"/>
      <c r="I17" s="19"/>
    </row>
    <row r="18" spans="1:9" x14ac:dyDescent="0.25">
      <c r="A18" s="144">
        <v>957.8</v>
      </c>
      <c r="B18" s="143">
        <f>A18-957.8</f>
        <v>0</v>
      </c>
      <c r="C18" s="28" t="s">
        <v>12</v>
      </c>
      <c r="D18" s="52" t="s">
        <v>41</v>
      </c>
      <c r="E18" s="180">
        <f>IF(E13="","",MOD(E17+1,52))</f>
        <v>23</v>
      </c>
      <c r="F18" s="29"/>
      <c r="G18" s="30" t="s">
        <v>36</v>
      </c>
      <c r="H18" s="27"/>
      <c r="I18" s="19"/>
    </row>
    <row r="19" spans="1:9" x14ac:dyDescent="0.25">
      <c r="A19" s="131"/>
      <c r="B19" s="132"/>
      <c r="C19" s="28" t="s">
        <v>73</v>
      </c>
      <c r="D19" s="53" t="str">
        <f>D10</f>
        <v>TEMA</v>
      </c>
      <c r="E19" s="24">
        <f>IF(E18="","",MOD(E18+1,52))</f>
        <v>24</v>
      </c>
      <c r="F19" s="29"/>
      <c r="G19" s="30" t="s">
        <v>36</v>
      </c>
      <c r="H19" s="27"/>
      <c r="I19" s="19"/>
    </row>
    <row r="20" spans="1:9" x14ac:dyDescent="0.25">
      <c r="A20" s="149">
        <v>864.78</v>
      </c>
      <c r="B20" s="143">
        <f>A20-864.78</f>
        <v>0</v>
      </c>
      <c r="C20" s="28" t="s">
        <v>59</v>
      </c>
      <c r="D20" s="52" t="s">
        <v>41</v>
      </c>
      <c r="E20" s="24">
        <f>IF(E19="","",MOD(E19+1,52))</f>
        <v>25</v>
      </c>
      <c r="F20" s="29"/>
      <c r="G20" s="30" t="s">
        <v>36</v>
      </c>
      <c r="H20" s="27"/>
      <c r="I20" s="19"/>
    </row>
    <row r="21" spans="1:9" x14ac:dyDescent="0.25">
      <c r="A21" s="149">
        <v>297.7</v>
      </c>
      <c r="B21" s="143">
        <f>A21-297.7</f>
        <v>0</v>
      </c>
      <c r="C21" s="28" t="s">
        <v>60</v>
      </c>
      <c r="D21" s="54" t="s">
        <v>44</v>
      </c>
      <c r="E21" s="24">
        <f>E20</f>
        <v>25</v>
      </c>
      <c r="F21" s="29"/>
      <c r="G21" s="30" t="s">
        <v>36</v>
      </c>
      <c r="H21" s="50"/>
      <c r="I21" s="19"/>
    </row>
    <row r="22" spans="1:9" x14ac:dyDescent="0.25">
      <c r="A22" s="131"/>
      <c r="B22" s="132"/>
      <c r="C22" s="185" t="s">
        <v>13</v>
      </c>
      <c r="D22" s="186" t="s">
        <v>68</v>
      </c>
      <c r="E22" s="187">
        <f>E20</f>
        <v>25</v>
      </c>
      <c r="F22" s="188"/>
      <c r="G22" s="189" t="s">
        <v>9</v>
      </c>
      <c r="H22" s="190"/>
      <c r="I22" s="19"/>
    </row>
    <row r="23" spans="1:9" x14ac:dyDescent="0.25">
      <c r="A23" s="257"/>
      <c r="B23" s="143">
        <f>A23</f>
        <v>0</v>
      </c>
      <c r="C23" s="32" t="s">
        <v>138</v>
      </c>
      <c r="D23" s="52" t="s">
        <v>45</v>
      </c>
      <c r="E23" s="24">
        <v>28</v>
      </c>
      <c r="F23" s="29"/>
      <c r="G23" s="30" t="s">
        <v>36</v>
      </c>
      <c r="H23" s="27" t="s">
        <v>250</v>
      </c>
      <c r="I23" s="19"/>
    </row>
    <row r="24" spans="1:9" x14ac:dyDescent="0.25">
      <c r="A24" s="267"/>
      <c r="B24" s="132"/>
      <c r="C24" s="28" t="s">
        <v>14</v>
      </c>
      <c r="D24" s="53" t="str">
        <f>D17</f>
        <v>TEMA</v>
      </c>
      <c r="E24" s="24">
        <f>IF(E20="","",MOD(E20+2,52))</f>
        <v>27</v>
      </c>
      <c r="F24" s="29"/>
      <c r="G24" s="30" t="s">
        <v>36</v>
      </c>
      <c r="H24" s="27"/>
      <c r="I24" s="19"/>
    </row>
    <row r="25" spans="1:9" x14ac:dyDescent="0.25">
      <c r="A25" s="257"/>
      <c r="B25" s="143">
        <f>A25</f>
        <v>0</v>
      </c>
      <c r="C25" s="183" t="s">
        <v>137</v>
      </c>
      <c r="D25" s="53" t="s">
        <v>56</v>
      </c>
      <c r="E25" s="24">
        <f>E23</f>
        <v>28</v>
      </c>
      <c r="F25" s="29"/>
      <c r="G25" s="72" t="s">
        <v>36</v>
      </c>
      <c r="H25" s="27"/>
      <c r="I25" s="19"/>
    </row>
    <row r="26" spans="1:9" x14ac:dyDescent="0.25">
      <c r="A26" s="131"/>
      <c r="B26" s="132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145"/>
      <c r="B27" s="146"/>
      <c r="C27" s="387" t="s">
        <v>144</v>
      </c>
      <c r="D27" s="388"/>
      <c r="E27" s="388"/>
      <c r="F27" s="388"/>
      <c r="G27" s="388"/>
      <c r="H27" s="389"/>
      <c r="I27" s="19"/>
    </row>
    <row r="28" spans="1:9" ht="15.75" thickBot="1" x14ac:dyDescent="0.3">
      <c r="A28" s="131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43"/>
      <c r="B29" s="143">
        <f>A29</f>
        <v>0</v>
      </c>
      <c r="C29" s="78" t="s">
        <v>66</v>
      </c>
      <c r="D29" s="52" t="s">
        <v>64</v>
      </c>
      <c r="E29" s="79">
        <v>29</v>
      </c>
      <c r="F29" s="25"/>
      <c r="G29" s="26" t="s">
        <v>70</v>
      </c>
      <c r="H29" s="27"/>
      <c r="I29" s="19"/>
    </row>
    <row r="30" spans="1:9" x14ac:dyDescent="0.25">
      <c r="A30" s="144">
        <v>1949.14</v>
      </c>
      <c r="B30" s="143">
        <f>A30-1949.14</f>
        <v>0</v>
      </c>
      <c r="C30" s="28" t="s">
        <v>67</v>
      </c>
      <c r="D30" s="53" t="s">
        <v>47</v>
      </c>
      <c r="E30" s="24">
        <v>29</v>
      </c>
      <c r="F30" s="29"/>
      <c r="G30" s="30" t="s">
        <v>36</v>
      </c>
      <c r="H30" s="27"/>
      <c r="I30" s="19"/>
    </row>
    <row r="31" spans="1:9" x14ac:dyDescent="0.25">
      <c r="A31" s="131"/>
      <c r="B31" s="132"/>
      <c r="C31" s="62" t="s">
        <v>16</v>
      </c>
      <c r="D31" s="52" t="str">
        <f>D29</f>
        <v>A CHARGE CLIENT</v>
      </c>
      <c r="E31" s="24">
        <f>IF(E30="","",MOD(E30+2,52))</f>
        <v>31</v>
      </c>
      <c r="F31" s="29"/>
      <c r="G31" s="30" t="s">
        <v>70</v>
      </c>
      <c r="H31" s="27"/>
      <c r="I31" s="19"/>
    </row>
    <row r="32" spans="1:9" x14ac:dyDescent="0.25">
      <c r="A32" s="257"/>
      <c r="B32" s="143">
        <f>A32</f>
        <v>0</v>
      </c>
      <c r="C32" s="80" t="s">
        <v>17</v>
      </c>
      <c r="D32" s="53" t="s">
        <v>128</v>
      </c>
      <c r="E32" s="24">
        <v>36</v>
      </c>
      <c r="F32" s="29"/>
      <c r="G32" s="30" t="s">
        <v>36</v>
      </c>
      <c r="H32" s="27"/>
      <c r="I32" s="19"/>
    </row>
    <row r="33" spans="1:9" x14ac:dyDescent="0.25">
      <c r="A33" s="257"/>
      <c r="B33" s="143"/>
      <c r="C33" s="62" t="s">
        <v>140</v>
      </c>
      <c r="D33" s="52" t="s">
        <v>64</v>
      </c>
      <c r="E33" s="24">
        <f>IF(E32="","",MOD(E32+1,52))</f>
        <v>37</v>
      </c>
      <c r="F33" s="29"/>
      <c r="G33" s="30" t="s">
        <v>70</v>
      </c>
      <c r="H33" s="27"/>
      <c r="I33" s="19"/>
    </row>
    <row r="34" spans="1:9" x14ac:dyDescent="0.25">
      <c r="A34" s="257"/>
      <c r="B34" s="143">
        <f>A34</f>
        <v>0</v>
      </c>
      <c r="C34" s="28" t="s">
        <v>141</v>
      </c>
      <c r="D34" s="53" t="s">
        <v>64</v>
      </c>
      <c r="E34" s="24">
        <f>IF(E32="","",MOD(E32+1,52))</f>
        <v>37</v>
      </c>
      <c r="F34" s="29"/>
      <c r="G34" s="30" t="s">
        <v>70</v>
      </c>
      <c r="H34" s="27"/>
      <c r="I34" s="19"/>
    </row>
    <row r="35" spans="1:9" x14ac:dyDescent="0.25">
      <c r="A35" s="267"/>
      <c r="B35" s="13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257"/>
      <c r="B36" s="143">
        <f>A36</f>
        <v>0</v>
      </c>
      <c r="C36" s="28" t="s">
        <v>19</v>
      </c>
      <c r="D36" s="53" t="s">
        <v>53</v>
      </c>
      <c r="E36" s="24">
        <v>42</v>
      </c>
      <c r="F36" s="29"/>
      <c r="G36" s="30"/>
      <c r="H36" s="27"/>
      <c r="I36" s="19"/>
    </row>
    <row r="37" spans="1:9" x14ac:dyDescent="0.25">
      <c r="A37" s="267"/>
      <c r="B37" s="132"/>
      <c r="C37" s="28" t="s">
        <v>20</v>
      </c>
      <c r="D37" s="52" t="str">
        <f>D30</f>
        <v>SOARES</v>
      </c>
      <c r="E37" s="24">
        <f>IF(E36="","",MOD(E36+1,52))</f>
        <v>43</v>
      </c>
      <c r="F37" s="29"/>
      <c r="G37" s="30"/>
      <c r="H37" s="27"/>
      <c r="I37" s="19"/>
    </row>
    <row r="38" spans="1:9" x14ac:dyDescent="0.25">
      <c r="A38" s="267"/>
      <c r="B38" s="132"/>
      <c r="C38" s="28" t="s">
        <v>21</v>
      </c>
      <c r="D38" s="53" t="str">
        <f>D29</f>
        <v>A CHARGE CLIENT</v>
      </c>
      <c r="E38" s="24">
        <f>IF(E37="","",MOD(E37+1,52))</f>
        <v>44</v>
      </c>
      <c r="F38" s="29"/>
      <c r="G38" s="30" t="s">
        <v>9</v>
      </c>
      <c r="H38" s="27"/>
      <c r="I38" s="19"/>
    </row>
    <row r="39" spans="1:9" x14ac:dyDescent="0.25">
      <c r="A39" s="267"/>
      <c r="B39" s="132"/>
      <c r="C39" s="28" t="s">
        <v>22</v>
      </c>
      <c r="D39" s="52" t="str">
        <f>D32</f>
        <v>MEYER</v>
      </c>
      <c r="E39" s="24">
        <f>IF(E37="","",MOD(E37+1,52))</f>
        <v>44</v>
      </c>
      <c r="F39" s="29"/>
      <c r="G39" s="30"/>
      <c r="H39" s="27"/>
      <c r="I39" s="19"/>
    </row>
    <row r="40" spans="1:9" x14ac:dyDescent="0.25">
      <c r="A40" s="267"/>
      <c r="B40" s="132"/>
      <c r="C40" s="28" t="s">
        <v>23</v>
      </c>
      <c r="D40" s="53" t="s">
        <v>53</v>
      </c>
      <c r="E40" s="24">
        <f>E36+4</f>
        <v>46</v>
      </c>
      <c r="F40" s="29"/>
      <c r="G40" s="30" t="s">
        <v>9</v>
      </c>
      <c r="H40" s="27"/>
      <c r="I40" s="19"/>
    </row>
    <row r="41" spans="1:9" x14ac:dyDescent="0.25">
      <c r="A41" s="267"/>
      <c r="B41" s="132"/>
      <c r="C41" s="28" t="s">
        <v>24</v>
      </c>
      <c r="D41" s="52" t="s">
        <v>64</v>
      </c>
      <c r="E41" s="24">
        <f>E39+1</f>
        <v>45</v>
      </c>
      <c r="F41" s="29"/>
      <c r="G41" s="30" t="s">
        <v>70</v>
      </c>
      <c r="H41" s="27"/>
      <c r="I41" s="19"/>
    </row>
    <row r="42" spans="1:9" x14ac:dyDescent="0.25">
      <c r="A42" s="267"/>
      <c r="B42" s="132"/>
      <c r="C42" s="28" t="s">
        <v>25</v>
      </c>
      <c r="D42" s="53" t="str">
        <f>D34</f>
        <v>A CHARGE CLIENT</v>
      </c>
      <c r="E42" s="24">
        <f>IF(E40="","",MOD(E40+2,52))</f>
        <v>48</v>
      </c>
      <c r="F42" s="29"/>
      <c r="G42" s="30" t="s">
        <v>70</v>
      </c>
      <c r="H42" s="27"/>
      <c r="I42" s="19"/>
    </row>
    <row r="43" spans="1:9" x14ac:dyDescent="0.25">
      <c r="A43" s="257"/>
      <c r="B43" s="143">
        <f>A43</f>
        <v>0</v>
      </c>
      <c r="C43" s="81" t="s">
        <v>147</v>
      </c>
      <c r="D43" s="52" t="str">
        <f>D44</f>
        <v>BECHTEL</v>
      </c>
      <c r="E43" s="82">
        <f>E44</f>
        <v>48</v>
      </c>
      <c r="F43" s="83"/>
      <c r="G43" s="72"/>
      <c r="H43" s="27"/>
      <c r="I43" s="19"/>
    </row>
    <row r="44" spans="1:9" x14ac:dyDescent="0.25">
      <c r="A44" s="257"/>
      <c r="B44" s="143">
        <f>A44</f>
        <v>0</v>
      </c>
      <c r="C44" s="81" t="s">
        <v>139</v>
      </c>
      <c r="D44" s="193" t="s">
        <v>54</v>
      </c>
      <c r="E44" s="82">
        <f>IF(E40="","",MOD(E40+2,52))</f>
        <v>48</v>
      </c>
      <c r="F44" s="83"/>
      <c r="G44" s="72"/>
      <c r="H44" s="194"/>
      <c r="I44" s="19"/>
    </row>
    <row r="45" spans="1:9" x14ac:dyDescent="0.25">
      <c r="A45" s="267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268"/>
      <c r="B46" s="146"/>
      <c r="C46" s="387" t="s">
        <v>146</v>
      </c>
      <c r="D46" s="388"/>
      <c r="E46" s="388"/>
      <c r="F46" s="388"/>
      <c r="G46" s="388"/>
      <c r="H46" s="389"/>
      <c r="I46" s="19"/>
    </row>
    <row r="47" spans="1:9" ht="15.75" thickBot="1" x14ac:dyDescent="0.3">
      <c r="A47" s="267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257"/>
      <c r="B48" s="143">
        <f>A48</f>
        <v>0</v>
      </c>
      <c r="C48" s="88" t="s">
        <v>26</v>
      </c>
      <c r="D48" s="52" t="s">
        <v>57</v>
      </c>
      <c r="E48" s="89">
        <f>E32+1</f>
        <v>37</v>
      </c>
      <c r="F48" s="25"/>
      <c r="G48" s="26"/>
      <c r="H48" s="27"/>
      <c r="I48" s="19"/>
    </row>
    <row r="49" spans="1:9" x14ac:dyDescent="0.25">
      <c r="A49" s="133"/>
      <c r="B49" s="173"/>
      <c r="C49" s="102" t="s">
        <v>69</v>
      </c>
      <c r="D49" s="103" t="s">
        <v>64</v>
      </c>
      <c r="E49" s="104">
        <f>E48</f>
        <v>37</v>
      </c>
      <c r="F49" s="105"/>
      <c r="G49" s="106" t="s">
        <v>70</v>
      </c>
      <c r="H49" s="27"/>
      <c r="I49" s="19"/>
    </row>
    <row r="50" spans="1:9" x14ac:dyDescent="0.25">
      <c r="A50" s="133"/>
      <c r="B50" s="173"/>
      <c r="C50" s="92" t="s">
        <v>61</v>
      </c>
      <c r="D50" s="99" t="s">
        <v>68</v>
      </c>
      <c r="E50" s="101">
        <f>E48+1</f>
        <v>38</v>
      </c>
      <c r="F50" s="95"/>
      <c r="G50" s="96" t="s">
        <v>9</v>
      </c>
      <c r="H50" s="97"/>
      <c r="I50" s="19"/>
    </row>
    <row r="51" spans="1:9" x14ac:dyDescent="0.25">
      <c r="A51" s="133">
        <f>SUM(A8:A50)</f>
        <v>20509.32</v>
      </c>
      <c r="B51" s="133">
        <f>SUM(B8:B50)</f>
        <v>0</v>
      </c>
      <c r="C51" s="91" t="s">
        <v>27</v>
      </c>
      <c r="D51" s="52" t="s">
        <v>64</v>
      </c>
      <c r="E51" s="90">
        <f>E48+3</f>
        <v>40</v>
      </c>
      <c r="F51" s="29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7" t="s">
        <v>142</v>
      </c>
      <c r="I54" s="19"/>
    </row>
    <row r="55" spans="1:9" x14ac:dyDescent="0.25">
      <c r="A55" s="42"/>
      <c r="B55" s="126"/>
      <c r="C55" s="43" t="s">
        <v>122</v>
      </c>
      <c r="D55" s="107">
        <v>42991</v>
      </c>
      <c r="E55" s="44"/>
      <c r="F55" s="45" t="s">
        <v>109</v>
      </c>
      <c r="G55" s="18"/>
      <c r="H55" s="398"/>
      <c r="I55" s="19"/>
    </row>
    <row r="56" spans="1:9" x14ac:dyDescent="0.25">
      <c r="A56" s="42"/>
      <c r="B56" s="126"/>
      <c r="C56" s="33" t="s">
        <v>123</v>
      </c>
      <c r="D56" s="49">
        <v>43144</v>
      </c>
      <c r="E56" s="46"/>
      <c r="F56" s="2" t="s">
        <v>109</v>
      </c>
      <c r="G56" s="18"/>
      <c r="H56" s="399" t="e">
        <f>DATEDIF(E3,D58,"m")&amp;"mois"&amp;DATEDIF(E3,D58,"md")&amp;"jours"</f>
        <v>#NUM!</v>
      </c>
      <c r="I56" s="19"/>
    </row>
    <row r="57" spans="1:9" ht="15.75" thickBot="1" x14ac:dyDescent="0.3">
      <c r="A57" s="42"/>
      <c r="B57" s="126"/>
      <c r="C57" s="33" t="s">
        <v>31</v>
      </c>
      <c r="D57" s="176"/>
      <c r="E57" s="46"/>
      <c r="F57" s="2"/>
      <c r="G57" s="18"/>
      <c r="H57" s="400"/>
      <c r="I57" s="19"/>
    </row>
    <row r="58" spans="1:9" x14ac:dyDescent="0.25">
      <c r="A58" s="42"/>
      <c r="B58" s="126"/>
      <c r="C58" s="47" t="s">
        <v>32</v>
      </c>
      <c r="D58" s="184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1"/>
      <c r="D60" s="371"/>
      <c r="E60" s="371"/>
      <c r="F60" s="371"/>
      <c r="G60" s="371"/>
      <c r="H60" s="371"/>
      <c r="I60" s="372"/>
    </row>
    <row r="61" spans="1:9" x14ac:dyDescent="0.25">
      <c r="A61" s="34"/>
      <c r="B61" s="18"/>
      <c r="C61" s="373"/>
      <c r="D61" s="373"/>
      <c r="E61" s="373"/>
      <c r="F61" s="373"/>
      <c r="G61" s="373"/>
      <c r="H61" s="373"/>
      <c r="I61" s="374"/>
    </row>
    <row r="62" spans="1:9" x14ac:dyDescent="0.25">
      <c r="A62" s="34"/>
      <c r="B62" s="18"/>
      <c r="C62" s="373"/>
      <c r="D62" s="373"/>
      <c r="E62" s="373"/>
      <c r="F62" s="373"/>
      <c r="G62" s="373"/>
      <c r="H62" s="373"/>
      <c r="I62" s="374"/>
    </row>
    <row r="63" spans="1:9" x14ac:dyDescent="0.25">
      <c r="A63" s="34"/>
      <c r="B63" s="18"/>
      <c r="C63" s="373"/>
      <c r="D63" s="373"/>
      <c r="E63" s="373"/>
      <c r="F63" s="373"/>
      <c r="G63" s="373"/>
      <c r="H63" s="373"/>
      <c r="I63" s="374"/>
    </row>
    <row r="64" spans="1:9" x14ac:dyDescent="0.25">
      <c r="A64" s="34"/>
      <c r="B64" s="18"/>
      <c r="C64" s="373"/>
      <c r="D64" s="373"/>
      <c r="E64" s="373"/>
      <c r="F64" s="373"/>
      <c r="G64" s="373"/>
      <c r="H64" s="373"/>
      <c r="I64" s="374"/>
    </row>
    <row r="65" spans="1:9" x14ac:dyDescent="0.25">
      <c r="A65" s="44"/>
      <c r="B65" s="45"/>
      <c r="C65" s="375"/>
      <c r="D65" s="375"/>
      <c r="E65" s="375"/>
      <c r="F65" s="375"/>
      <c r="G65" s="375"/>
      <c r="H65" s="375"/>
      <c r="I65" s="376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A1:G1"/>
    <mergeCell ref="A2:B2"/>
    <mergeCell ref="E2:F2"/>
    <mergeCell ref="H2:I2"/>
    <mergeCell ref="A3:B3"/>
    <mergeCell ref="E3:F3"/>
    <mergeCell ref="H3:I3"/>
    <mergeCell ref="H54:H55"/>
    <mergeCell ref="H56:H57"/>
    <mergeCell ref="C60:I65"/>
    <mergeCell ref="E4:F4"/>
    <mergeCell ref="A5:B5"/>
    <mergeCell ref="A6:B6"/>
    <mergeCell ref="C6:H6"/>
    <mergeCell ref="C27:H27"/>
    <mergeCell ref="C46:H46"/>
  </mergeCells>
  <conditionalFormatting sqref="C52:G52">
    <cfRule type="expression" dxfId="1044" priority="70">
      <formula>$F52="réalisé"</formula>
    </cfRule>
  </conditionalFormatting>
  <conditionalFormatting sqref="C48:C51 E48:H51 E29:H45 C8:H26">
    <cfRule type="expression" dxfId="1043" priority="67">
      <formula>$G8="réalisé"</formula>
    </cfRule>
    <cfRule type="expression" dxfId="1042" priority="68">
      <formula>$G8="en cours"</formula>
    </cfRule>
    <cfRule type="expression" dxfId="1041" priority="69">
      <formula>$G8="non compris"</formula>
    </cfRule>
  </conditionalFormatting>
  <conditionalFormatting sqref="C29:C45">
    <cfRule type="expression" dxfId="1040" priority="64">
      <formula>$G29="réalisé"</formula>
    </cfRule>
    <cfRule type="expression" dxfId="1039" priority="65">
      <formula>$G29="en cours"</formula>
    </cfRule>
    <cfRule type="expression" dxfId="1038" priority="66">
      <formula>$G29="non compris"</formula>
    </cfRule>
  </conditionalFormatting>
  <conditionalFormatting sqref="C55:F58">
    <cfRule type="expression" dxfId="1037" priority="63">
      <formula>$F55="réalisé"</formula>
    </cfRule>
  </conditionalFormatting>
  <conditionalFormatting sqref="G9">
    <cfRule type="expression" dxfId="1036" priority="62">
      <formula>$G$10="réalisé"</formula>
    </cfRule>
  </conditionalFormatting>
  <conditionalFormatting sqref="G10:G14">
    <cfRule type="expression" dxfId="1035" priority="61">
      <formula>$G$15="réalisé"</formula>
    </cfRule>
  </conditionalFormatting>
  <conditionalFormatting sqref="G20:G21">
    <cfRule type="expression" dxfId="1034" priority="60">
      <formula>$G$22="réalisé"</formula>
    </cfRule>
  </conditionalFormatting>
  <conditionalFormatting sqref="G30">
    <cfRule type="expression" dxfId="1033" priority="59">
      <formula>$G$31="réalisé"</formula>
    </cfRule>
  </conditionalFormatting>
  <conditionalFormatting sqref="D29">
    <cfRule type="expression" dxfId="1032" priority="56">
      <formula>$G29="réalisé"</formula>
    </cfRule>
    <cfRule type="expression" dxfId="1031" priority="57">
      <formula>$G29="en cours"</formula>
    </cfRule>
    <cfRule type="expression" dxfId="1030" priority="58">
      <formula>$G29="non compris"</formula>
    </cfRule>
  </conditionalFormatting>
  <conditionalFormatting sqref="D31">
    <cfRule type="expression" dxfId="1029" priority="53">
      <formula>$G31="réalisé"</formula>
    </cfRule>
    <cfRule type="expression" dxfId="1028" priority="54">
      <formula>$G31="en cours"</formula>
    </cfRule>
    <cfRule type="expression" dxfId="1027" priority="55">
      <formula>$G31="non compris"</formula>
    </cfRule>
  </conditionalFormatting>
  <conditionalFormatting sqref="D33">
    <cfRule type="expression" dxfId="1026" priority="50">
      <formula>$G33="réalisé"</formula>
    </cfRule>
    <cfRule type="expression" dxfId="1025" priority="51">
      <formula>$G33="en cours"</formula>
    </cfRule>
    <cfRule type="expression" dxfId="1024" priority="52">
      <formula>$G33="non compris"</formula>
    </cfRule>
  </conditionalFormatting>
  <conditionalFormatting sqref="D35">
    <cfRule type="expression" dxfId="1023" priority="47">
      <formula>$G35="réalisé"</formula>
    </cfRule>
    <cfRule type="expression" dxfId="1022" priority="48">
      <formula>$G35="en cours"</formula>
    </cfRule>
    <cfRule type="expression" dxfId="1021" priority="49">
      <formula>$G35="non compris"</formula>
    </cfRule>
  </conditionalFormatting>
  <conditionalFormatting sqref="D37">
    <cfRule type="expression" dxfId="1020" priority="44">
      <formula>$G37="réalisé"</formula>
    </cfRule>
    <cfRule type="expression" dxfId="1019" priority="45">
      <formula>$G37="en cours"</formula>
    </cfRule>
    <cfRule type="expression" dxfId="1018" priority="46">
      <formula>$G37="non compris"</formula>
    </cfRule>
  </conditionalFormatting>
  <conditionalFormatting sqref="D39">
    <cfRule type="expression" dxfId="1017" priority="41">
      <formula>$G39="réalisé"</formula>
    </cfRule>
    <cfRule type="expression" dxfId="1016" priority="42">
      <formula>$G39="en cours"</formula>
    </cfRule>
    <cfRule type="expression" dxfId="1015" priority="43">
      <formula>$G39="non compris"</formula>
    </cfRule>
  </conditionalFormatting>
  <conditionalFormatting sqref="D41">
    <cfRule type="expression" dxfId="1014" priority="38">
      <formula>$G41="réalisé"</formula>
    </cfRule>
    <cfRule type="expression" dxfId="1013" priority="39">
      <formula>$G41="en cours"</formula>
    </cfRule>
    <cfRule type="expression" dxfId="1012" priority="40">
      <formula>$G41="non compris"</formula>
    </cfRule>
  </conditionalFormatting>
  <conditionalFormatting sqref="D44:D45">
    <cfRule type="expression" dxfId="1011" priority="35">
      <formula>$G44="réalisé"</formula>
    </cfRule>
    <cfRule type="expression" dxfId="1010" priority="36">
      <formula>$G44="en cours"</formula>
    </cfRule>
    <cfRule type="expression" dxfId="1009" priority="37">
      <formula>$G44="non compris"</formula>
    </cfRule>
  </conditionalFormatting>
  <conditionalFormatting sqref="D30">
    <cfRule type="expression" dxfId="1008" priority="32">
      <formula>$G30="réalisé"</formula>
    </cfRule>
    <cfRule type="expression" dxfId="1007" priority="33">
      <formula>$G30="en cours"</formula>
    </cfRule>
    <cfRule type="expression" dxfId="1006" priority="34">
      <formula>$G30="non compris"</formula>
    </cfRule>
  </conditionalFormatting>
  <conditionalFormatting sqref="D32">
    <cfRule type="expression" dxfId="1005" priority="29">
      <formula>$G32="réalisé"</formula>
    </cfRule>
    <cfRule type="expression" dxfId="1004" priority="30">
      <formula>$G32="en cours"</formula>
    </cfRule>
    <cfRule type="expression" dxfId="1003" priority="31">
      <formula>$G32="non compris"</formula>
    </cfRule>
  </conditionalFormatting>
  <conditionalFormatting sqref="D34">
    <cfRule type="expression" dxfId="1002" priority="26">
      <formula>$G34="réalisé"</formula>
    </cfRule>
    <cfRule type="expression" dxfId="1001" priority="27">
      <formula>$G34="en cours"</formula>
    </cfRule>
    <cfRule type="expression" dxfId="1000" priority="28">
      <formula>$G34="non compris"</formula>
    </cfRule>
  </conditionalFormatting>
  <conditionalFormatting sqref="D36">
    <cfRule type="expression" dxfId="999" priority="23">
      <formula>$G36="réalisé"</formula>
    </cfRule>
    <cfRule type="expression" dxfId="998" priority="24">
      <formula>$G36="en cours"</formula>
    </cfRule>
    <cfRule type="expression" dxfId="997" priority="25">
      <formula>$G36="non compris"</formula>
    </cfRule>
  </conditionalFormatting>
  <conditionalFormatting sqref="D38">
    <cfRule type="expression" dxfId="996" priority="20">
      <formula>$G38="réalisé"</formula>
    </cfRule>
    <cfRule type="expression" dxfId="995" priority="21">
      <formula>$G38="en cours"</formula>
    </cfRule>
    <cfRule type="expression" dxfId="994" priority="22">
      <formula>$G38="non compris"</formula>
    </cfRule>
  </conditionalFormatting>
  <conditionalFormatting sqref="D40">
    <cfRule type="expression" dxfId="993" priority="17">
      <formula>$G40="réalisé"</formula>
    </cfRule>
    <cfRule type="expression" dxfId="992" priority="18">
      <formula>$G40="en cours"</formula>
    </cfRule>
    <cfRule type="expression" dxfId="991" priority="19">
      <formula>$G40="non compris"</formula>
    </cfRule>
  </conditionalFormatting>
  <conditionalFormatting sqref="D42:D43">
    <cfRule type="expression" dxfId="990" priority="14">
      <formula>$G42="réalisé"</formula>
    </cfRule>
    <cfRule type="expression" dxfId="989" priority="15">
      <formula>$G42="en cours"</formula>
    </cfRule>
    <cfRule type="expression" dxfId="988" priority="16">
      <formula>$G42="non compris"</formula>
    </cfRule>
  </conditionalFormatting>
  <conditionalFormatting sqref="D50">
    <cfRule type="expression" dxfId="987" priority="11">
      <formula>$G50="réalisé"</formula>
    </cfRule>
    <cfRule type="expression" dxfId="986" priority="12">
      <formula>$G50="en cours"</formula>
    </cfRule>
    <cfRule type="expression" dxfId="985" priority="13">
      <formula>$G50="non compris"</formula>
    </cfRule>
  </conditionalFormatting>
  <conditionalFormatting sqref="D49">
    <cfRule type="expression" dxfId="984" priority="8">
      <formula>$G49="réalisé"</formula>
    </cfRule>
    <cfRule type="expression" dxfId="983" priority="9">
      <formula>$G49="en cours"</formula>
    </cfRule>
    <cfRule type="expression" dxfId="982" priority="10">
      <formula>$G49="non compris"</formula>
    </cfRule>
  </conditionalFormatting>
  <conditionalFormatting sqref="D48">
    <cfRule type="expression" dxfId="981" priority="5">
      <formula>$G48="réalisé"</formula>
    </cfRule>
    <cfRule type="expression" dxfId="980" priority="6">
      <formula>$G48="en cours"</formula>
    </cfRule>
    <cfRule type="expression" dxfId="979" priority="7">
      <formula>$G48="non compris"</formula>
    </cfRule>
  </conditionalFormatting>
  <conditionalFormatting sqref="D51">
    <cfRule type="expression" dxfId="978" priority="2">
      <formula>$G51="réalisé"</formula>
    </cfRule>
    <cfRule type="expression" dxfId="977" priority="3">
      <formula>$G51="en cours"</formula>
    </cfRule>
    <cfRule type="expression" dxfId="976" priority="4">
      <formula>$G51="non compris"</formula>
    </cfRule>
  </conditionalFormatting>
  <conditionalFormatting sqref="D8:D26">
    <cfRule type="expression" dxfId="975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82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00B050"/>
    <pageSetUpPr fitToPage="1"/>
  </sheetPr>
  <dimension ref="A1:I74"/>
  <sheetViews>
    <sheetView zoomScaleNormal="100" workbookViewId="0">
      <selection activeCell="B21" sqref="B21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7" t="s">
        <v>0</v>
      </c>
      <c r="B1" s="378"/>
      <c r="C1" s="378"/>
      <c r="D1" s="378"/>
      <c r="E1" s="378"/>
      <c r="F1" s="378"/>
      <c r="G1" s="378"/>
      <c r="H1" s="1" t="s">
        <v>1</v>
      </c>
      <c r="I1" s="3">
        <f ca="1">INT(MOD(INT((LISTE!D1-2)/7)+0.6,52+5/28))+1</f>
        <v>41</v>
      </c>
    </row>
    <row r="2" spans="1:9" x14ac:dyDescent="0.25">
      <c r="A2" s="390" t="s">
        <v>2</v>
      </c>
      <c r="B2" s="391"/>
      <c r="C2" s="70" t="str">
        <f ca="1">MID(CELL("nomfichier",A1),FIND("]",CELL("nomfichier",A1),1)+1,30)</f>
        <v>ROSKIC</v>
      </c>
      <c r="D2" s="4" t="s">
        <v>72</v>
      </c>
      <c r="E2" s="379">
        <v>43195</v>
      </c>
      <c r="F2" s="379"/>
      <c r="G2" s="5"/>
      <c r="H2" s="380" t="s">
        <v>143</v>
      </c>
      <c r="I2" s="381"/>
    </row>
    <row r="3" spans="1:9" ht="15.75" x14ac:dyDescent="0.25">
      <c r="A3" s="392" t="s">
        <v>106</v>
      </c>
      <c r="B3" s="384"/>
      <c r="C3" s="6" t="s">
        <v>211</v>
      </c>
      <c r="D3" s="7" t="s">
        <v>3</v>
      </c>
      <c r="E3" s="382">
        <v>43271</v>
      </c>
      <c r="F3" s="383"/>
      <c r="G3" s="8"/>
      <c r="H3" s="384" t="str">
        <f ca="1">DATEDIF(E3,TODAY(),"m")&amp;"mois"&amp;-DATEDIF(E3,TODAY(),"md")&amp;"jours"</f>
        <v>3mois-22jours</v>
      </c>
      <c r="I3" s="385"/>
    </row>
    <row r="4" spans="1:9" ht="18.75" x14ac:dyDescent="0.25">
      <c r="A4" s="69" t="s">
        <v>117</v>
      </c>
      <c r="B4" s="129"/>
      <c r="C4" s="9" t="s">
        <v>121</v>
      </c>
      <c r="D4" s="10" t="s">
        <v>4</v>
      </c>
      <c r="E4" s="386">
        <f>E3+60</f>
        <v>43331</v>
      </c>
      <c r="F4" s="386"/>
      <c r="G4" s="11"/>
      <c r="H4" s="12"/>
      <c r="I4" s="13"/>
    </row>
    <row r="5" spans="1:9" x14ac:dyDescent="0.25">
      <c r="A5" s="393" t="s">
        <v>76</v>
      </c>
      <c r="B5" s="394"/>
      <c r="C5" s="15"/>
      <c r="D5" s="16"/>
      <c r="E5" s="15"/>
      <c r="F5" s="15"/>
      <c r="G5" s="17"/>
      <c r="H5" s="18"/>
      <c r="I5" s="19"/>
    </row>
    <row r="6" spans="1:9" ht="18.75" x14ac:dyDescent="0.3">
      <c r="A6" s="395" t="s">
        <v>75</v>
      </c>
      <c r="B6" s="396"/>
      <c r="C6" s="387" t="s">
        <v>145</v>
      </c>
      <c r="D6" s="388"/>
      <c r="E6" s="388"/>
      <c r="F6" s="388"/>
      <c r="G6" s="388"/>
      <c r="H6" s="389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22"/>
      <c r="B8" s="200"/>
      <c r="C8" s="28" t="s">
        <v>124</v>
      </c>
      <c r="D8" s="52" t="s">
        <v>38</v>
      </c>
      <c r="E8" s="180">
        <f ca="1">I1</f>
        <v>41</v>
      </c>
      <c r="F8" s="25"/>
      <c r="G8" s="26" t="s">
        <v>36</v>
      </c>
      <c r="H8" s="27"/>
      <c r="I8" s="19"/>
    </row>
    <row r="9" spans="1:9" x14ac:dyDescent="0.25">
      <c r="A9" s="122"/>
      <c r="B9" s="130"/>
      <c r="C9" s="28" t="s">
        <v>131</v>
      </c>
      <c r="D9" s="53" t="str">
        <f>D8</f>
        <v>TEMA</v>
      </c>
      <c r="E9" s="181">
        <f ca="1">E8+1</f>
        <v>42</v>
      </c>
      <c r="F9" s="29"/>
      <c r="G9" s="30" t="s">
        <v>36</v>
      </c>
      <c r="H9" s="27"/>
      <c r="I9" s="19"/>
    </row>
    <row r="10" spans="1:9" ht="15" customHeight="1" x14ac:dyDescent="0.25">
      <c r="A10" s="131"/>
      <c r="B10" s="182"/>
      <c r="C10" s="28" t="s">
        <v>132</v>
      </c>
      <c r="D10" s="52" t="str">
        <f>D9</f>
        <v>TEMA</v>
      </c>
      <c r="E10" s="180">
        <f ca="1">E9</f>
        <v>42</v>
      </c>
      <c r="F10" s="31"/>
      <c r="G10" s="30" t="s">
        <v>36</v>
      </c>
      <c r="H10" s="27"/>
      <c r="I10" s="19"/>
    </row>
    <row r="11" spans="1:9" ht="15" customHeight="1" x14ac:dyDescent="0.25">
      <c r="A11" s="131"/>
      <c r="B11" s="132"/>
      <c r="C11" s="28" t="s">
        <v>133</v>
      </c>
      <c r="D11" s="54" t="str">
        <f>D8</f>
        <v>TEMA</v>
      </c>
      <c r="E11" s="180">
        <f ca="1">E10+1</f>
        <v>43</v>
      </c>
      <c r="F11" s="31"/>
      <c r="G11" s="30" t="s">
        <v>36</v>
      </c>
      <c r="H11" s="27"/>
      <c r="I11" s="19"/>
    </row>
    <row r="12" spans="1:9" ht="15" customHeight="1" x14ac:dyDescent="0.25">
      <c r="A12" s="144">
        <v>14457.65</v>
      </c>
      <c r="B12" s="143">
        <f>A12-12048.04-1689.6</f>
        <v>720.00999999999885</v>
      </c>
      <c r="C12" s="28" t="s">
        <v>134</v>
      </c>
      <c r="D12" s="54" t="str">
        <f t="shared" ref="D12:D14" si="0">D9</f>
        <v>TEMA</v>
      </c>
      <c r="E12" s="180">
        <f ca="1">E11+2</f>
        <v>45</v>
      </c>
      <c r="F12" s="31"/>
      <c r="G12" s="30" t="s">
        <v>36</v>
      </c>
      <c r="H12" s="27"/>
      <c r="I12" s="19"/>
    </row>
    <row r="13" spans="1:9" ht="15" customHeight="1" x14ac:dyDescent="0.25">
      <c r="A13" s="131"/>
      <c r="B13" s="132"/>
      <c r="C13" s="28" t="s">
        <v>135</v>
      </c>
      <c r="D13" s="54" t="str">
        <f t="shared" si="0"/>
        <v>TEMA</v>
      </c>
      <c r="E13" s="180">
        <f ca="1">E12+1</f>
        <v>46</v>
      </c>
      <c r="F13" s="31"/>
      <c r="G13" s="30" t="s">
        <v>36</v>
      </c>
      <c r="H13" s="27"/>
      <c r="I13" s="19"/>
    </row>
    <row r="14" spans="1:9" ht="15" customHeight="1" x14ac:dyDescent="0.25">
      <c r="A14" s="131"/>
      <c r="B14" s="132"/>
      <c r="C14" s="28" t="s">
        <v>136</v>
      </c>
      <c r="D14" s="54" t="str">
        <f t="shared" si="0"/>
        <v>TEMA</v>
      </c>
      <c r="E14" s="180">
        <f ca="1">E13</f>
        <v>46</v>
      </c>
      <c r="F14" s="31"/>
      <c r="G14" s="30" t="s">
        <v>36</v>
      </c>
      <c r="H14" s="27"/>
      <c r="I14" s="19"/>
    </row>
    <row r="15" spans="1:9" x14ac:dyDescent="0.25">
      <c r="A15" s="131"/>
      <c r="B15" s="132"/>
      <c r="C15" s="28" t="s">
        <v>62</v>
      </c>
      <c r="D15" s="53" t="s">
        <v>64</v>
      </c>
      <c r="E15" s="24">
        <f ca="1">E10+4</f>
        <v>46</v>
      </c>
      <c r="F15" s="29"/>
      <c r="G15" s="30" t="s">
        <v>70</v>
      </c>
      <c r="H15" s="27"/>
      <c r="I15" s="19"/>
    </row>
    <row r="16" spans="1:9" x14ac:dyDescent="0.25">
      <c r="A16" s="131"/>
      <c r="B16" s="132"/>
      <c r="C16" s="28" t="s">
        <v>10</v>
      </c>
      <c r="D16" s="52" t="s">
        <v>64</v>
      </c>
      <c r="E16" s="24">
        <f ca="1">E10+1</f>
        <v>43</v>
      </c>
      <c r="F16" s="29"/>
      <c r="G16" s="30" t="s">
        <v>70</v>
      </c>
      <c r="H16" s="27"/>
      <c r="I16" s="19"/>
    </row>
    <row r="17" spans="1:9" x14ac:dyDescent="0.25">
      <c r="A17" s="131"/>
      <c r="B17" s="132"/>
      <c r="C17" s="28" t="s">
        <v>11</v>
      </c>
      <c r="D17" s="53" t="s">
        <v>38</v>
      </c>
      <c r="E17" s="24">
        <v>36</v>
      </c>
      <c r="F17" s="29"/>
      <c r="G17" s="30" t="s">
        <v>36</v>
      </c>
      <c r="H17" s="27"/>
      <c r="I17" s="19"/>
    </row>
    <row r="18" spans="1:9" x14ac:dyDescent="0.25">
      <c r="A18" s="144">
        <v>709.2</v>
      </c>
      <c r="B18" s="143">
        <f>A18-709.2</f>
        <v>0</v>
      </c>
      <c r="C18" s="28" t="s">
        <v>12</v>
      </c>
      <c r="D18" s="52" t="s">
        <v>41</v>
      </c>
      <c r="E18" s="180">
        <v>36</v>
      </c>
      <c r="F18" s="29"/>
      <c r="G18" s="30" t="s">
        <v>36</v>
      </c>
      <c r="H18" s="27"/>
      <c r="I18" s="19"/>
    </row>
    <row r="19" spans="1:9" x14ac:dyDescent="0.25">
      <c r="A19" s="131"/>
      <c r="B19" s="132"/>
      <c r="C19" s="28" t="s">
        <v>73</v>
      </c>
      <c r="D19" s="53" t="str">
        <f>D10</f>
        <v>TEMA</v>
      </c>
      <c r="E19" s="24">
        <v>38</v>
      </c>
      <c r="F19" s="29"/>
      <c r="G19" s="30" t="s">
        <v>36</v>
      </c>
      <c r="H19" s="27"/>
      <c r="I19" s="19"/>
    </row>
    <row r="20" spans="1:9" x14ac:dyDescent="0.25">
      <c r="A20" s="144">
        <v>542.66</v>
      </c>
      <c r="B20" s="143">
        <f>A20-542.66</f>
        <v>0</v>
      </c>
      <c r="C20" s="28" t="s">
        <v>59</v>
      </c>
      <c r="D20" s="52" t="s">
        <v>41</v>
      </c>
      <c r="E20" s="24">
        <v>40</v>
      </c>
      <c r="F20" s="29"/>
      <c r="G20" s="30" t="s">
        <v>36</v>
      </c>
      <c r="H20" s="27"/>
      <c r="I20" s="19"/>
    </row>
    <row r="21" spans="1:9" x14ac:dyDescent="0.25">
      <c r="A21" s="144">
        <v>1058.28</v>
      </c>
      <c r="B21" s="143">
        <f>A21</f>
        <v>1058.28</v>
      </c>
      <c r="C21" s="28" t="s">
        <v>60</v>
      </c>
      <c r="D21" s="54" t="s">
        <v>44</v>
      </c>
      <c r="E21" s="24">
        <f>E20</f>
        <v>40</v>
      </c>
      <c r="F21" s="29"/>
      <c r="G21" s="30" t="s">
        <v>36</v>
      </c>
      <c r="H21" s="50"/>
      <c r="I21" s="19"/>
    </row>
    <row r="22" spans="1:9" x14ac:dyDescent="0.25">
      <c r="A22" s="131"/>
      <c r="B22" s="132"/>
      <c r="C22" s="167" t="s">
        <v>13</v>
      </c>
      <c r="D22" s="168" t="s">
        <v>44</v>
      </c>
      <c r="E22" s="169">
        <f>E20</f>
        <v>40</v>
      </c>
      <c r="F22" s="170"/>
      <c r="G22" s="171" t="s">
        <v>36</v>
      </c>
      <c r="H22" s="172"/>
      <c r="I22" s="19"/>
    </row>
    <row r="23" spans="1:9" x14ac:dyDescent="0.25">
      <c r="A23" s="143"/>
      <c r="B23" s="143">
        <f>A23</f>
        <v>0</v>
      </c>
      <c r="C23" s="32" t="s">
        <v>138</v>
      </c>
      <c r="D23" s="52" t="s">
        <v>64</v>
      </c>
      <c r="E23" s="24">
        <v>45</v>
      </c>
      <c r="F23" s="29"/>
      <c r="G23" s="30" t="s">
        <v>70</v>
      </c>
      <c r="H23" s="27"/>
      <c r="I23" s="19"/>
    </row>
    <row r="24" spans="1:9" x14ac:dyDescent="0.25">
      <c r="A24" s="131"/>
      <c r="B24" s="132"/>
      <c r="C24" s="28" t="s">
        <v>14</v>
      </c>
      <c r="D24" s="53" t="str">
        <f>D17</f>
        <v>TEMA</v>
      </c>
      <c r="E24" s="24">
        <f>IF(E20="","",MOD(E20+2,52))</f>
        <v>42</v>
      </c>
      <c r="F24" s="29"/>
      <c r="G24" s="30" t="s">
        <v>36</v>
      </c>
      <c r="H24" s="27"/>
      <c r="I24" s="19"/>
    </row>
    <row r="25" spans="1:9" x14ac:dyDescent="0.25">
      <c r="A25" s="143"/>
      <c r="B25" s="143">
        <f>A25</f>
        <v>0</v>
      </c>
      <c r="C25" s="183" t="s">
        <v>137</v>
      </c>
      <c r="D25" s="53" t="s">
        <v>64</v>
      </c>
      <c r="E25" s="24">
        <f>E23</f>
        <v>45</v>
      </c>
      <c r="F25" s="29"/>
      <c r="G25" s="72" t="s">
        <v>70</v>
      </c>
      <c r="H25" s="27"/>
      <c r="I25" s="19"/>
    </row>
    <row r="26" spans="1:9" x14ac:dyDescent="0.25">
      <c r="A26" s="131"/>
      <c r="B26" s="132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145"/>
      <c r="B27" s="146"/>
      <c r="C27" s="387" t="s">
        <v>144</v>
      </c>
      <c r="D27" s="388"/>
      <c r="E27" s="388"/>
      <c r="F27" s="388"/>
      <c r="G27" s="388"/>
      <c r="H27" s="389"/>
      <c r="I27" s="19"/>
    </row>
    <row r="28" spans="1:9" ht="15.75" thickBot="1" x14ac:dyDescent="0.3">
      <c r="A28" s="131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44"/>
      <c r="B29" s="143">
        <f>A29</f>
        <v>0</v>
      </c>
      <c r="C29" s="78" t="s">
        <v>66</v>
      </c>
      <c r="D29" s="52" t="s">
        <v>49</v>
      </c>
      <c r="E29" s="79">
        <v>46</v>
      </c>
      <c r="F29" s="25"/>
      <c r="G29" s="26" t="s">
        <v>9</v>
      </c>
      <c r="H29" s="27"/>
      <c r="I29" s="19"/>
    </row>
    <row r="30" spans="1:9" x14ac:dyDescent="0.25">
      <c r="A30" s="144">
        <v>810.34</v>
      </c>
      <c r="B30" s="143">
        <f>A30</f>
        <v>810.34</v>
      </c>
      <c r="C30" s="28" t="s">
        <v>67</v>
      </c>
      <c r="D30" s="53" t="s">
        <v>47</v>
      </c>
      <c r="E30" s="24">
        <f>IF(E29="","",MOD(E29+1,52))</f>
        <v>47</v>
      </c>
      <c r="F30" s="29"/>
      <c r="G30" s="30"/>
      <c r="H30" s="27"/>
      <c r="I30" s="19"/>
    </row>
    <row r="31" spans="1:9" x14ac:dyDescent="0.25">
      <c r="A31" s="131"/>
      <c r="B31" s="132"/>
      <c r="C31" s="62" t="s">
        <v>16</v>
      </c>
      <c r="D31" s="52" t="str">
        <f>D29</f>
        <v>BENELEC</v>
      </c>
      <c r="E31" s="24">
        <f>IF(E30="","",MOD(E30+2,52))</f>
        <v>49</v>
      </c>
      <c r="F31" s="29"/>
      <c r="G31" s="30"/>
      <c r="H31" s="27"/>
      <c r="I31" s="19"/>
    </row>
    <row r="32" spans="1:9" x14ac:dyDescent="0.25">
      <c r="A32" s="144"/>
      <c r="B32" s="143">
        <f>A32</f>
        <v>0</v>
      </c>
      <c r="C32" s="80" t="s">
        <v>17</v>
      </c>
      <c r="D32" s="53" t="s">
        <v>128</v>
      </c>
      <c r="E32" s="24">
        <f>IF(E30="","",MOD(E30+2,52))</f>
        <v>49</v>
      </c>
      <c r="F32" s="29"/>
      <c r="G32" s="30"/>
      <c r="H32" s="27"/>
      <c r="I32" s="19"/>
    </row>
    <row r="33" spans="1:9" x14ac:dyDescent="0.25">
      <c r="A33" s="143"/>
      <c r="B33" s="143"/>
      <c r="C33" s="62" t="s">
        <v>140</v>
      </c>
      <c r="D33" s="52" t="s">
        <v>167</v>
      </c>
      <c r="E33" s="24">
        <f>IF(E32="","",MOD(E32+1,52))</f>
        <v>50</v>
      </c>
      <c r="F33" s="29"/>
      <c r="G33" s="30"/>
      <c r="H33" s="27"/>
      <c r="I33" s="19"/>
    </row>
    <row r="34" spans="1:9" x14ac:dyDescent="0.25">
      <c r="A34" s="144"/>
      <c r="B34" s="143">
        <f>A34</f>
        <v>0</v>
      </c>
      <c r="C34" s="28" t="s">
        <v>141</v>
      </c>
      <c r="D34" s="53" t="s">
        <v>167</v>
      </c>
      <c r="E34" s="24">
        <f>IF(E32="","",MOD(E32+1,52))</f>
        <v>50</v>
      </c>
      <c r="F34" s="29"/>
      <c r="G34" s="30"/>
      <c r="H34" s="27"/>
      <c r="I34" s="19"/>
    </row>
    <row r="35" spans="1:9" x14ac:dyDescent="0.25">
      <c r="A35" s="267"/>
      <c r="B35" s="13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257"/>
      <c r="B36" s="143">
        <f>A36</f>
        <v>0</v>
      </c>
      <c r="C36" s="28" t="s">
        <v>19</v>
      </c>
      <c r="D36" s="53" t="s">
        <v>52</v>
      </c>
      <c r="E36" s="24">
        <f>IF(E34="","",MOD(E34+1,52))</f>
        <v>51</v>
      </c>
      <c r="F36" s="29"/>
      <c r="G36" s="30"/>
      <c r="H36" s="27"/>
      <c r="I36" s="19"/>
    </row>
    <row r="37" spans="1:9" x14ac:dyDescent="0.25">
      <c r="A37" s="267"/>
      <c r="B37" s="132"/>
      <c r="C37" s="28" t="s">
        <v>20</v>
      </c>
      <c r="D37" s="52" t="str">
        <f>D30</f>
        <v>SOARES</v>
      </c>
      <c r="E37" s="24">
        <f>IF(E36="","",MOD(E36+1,52))</f>
        <v>0</v>
      </c>
      <c r="F37" s="29"/>
      <c r="G37" s="30"/>
      <c r="H37" s="27"/>
      <c r="I37" s="19"/>
    </row>
    <row r="38" spans="1:9" x14ac:dyDescent="0.25">
      <c r="A38" s="267"/>
      <c r="B38" s="132"/>
      <c r="C38" s="28" t="s">
        <v>21</v>
      </c>
      <c r="D38" s="53" t="str">
        <f>D29</f>
        <v>BENELEC</v>
      </c>
      <c r="E38" s="24">
        <f>IF(E37="","",MOD(E37+1,52))</f>
        <v>1</v>
      </c>
      <c r="F38" s="29"/>
      <c r="G38" s="30" t="s">
        <v>9</v>
      </c>
      <c r="H38" s="27"/>
      <c r="I38" s="19"/>
    </row>
    <row r="39" spans="1:9" x14ac:dyDescent="0.25">
      <c r="A39" s="267"/>
      <c r="B39" s="132"/>
      <c r="C39" s="28" t="s">
        <v>22</v>
      </c>
      <c r="D39" s="52" t="str">
        <f>D32</f>
        <v>MEYER</v>
      </c>
      <c r="E39" s="24">
        <f>IF(E37="","",MOD(E37+1,52))</f>
        <v>1</v>
      </c>
      <c r="F39" s="29"/>
      <c r="G39" s="30"/>
      <c r="H39" s="27"/>
      <c r="I39" s="19"/>
    </row>
    <row r="40" spans="1:9" x14ac:dyDescent="0.25">
      <c r="A40" s="267"/>
      <c r="B40" s="132"/>
      <c r="C40" s="28" t="s">
        <v>23</v>
      </c>
      <c r="D40" s="53" t="s">
        <v>64</v>
      </c>
      <c r="E40" s="24">
        <f>E36+4</f>
        <v>55</v>
      </c>
      <c r="F40" s="29"/>
      <c r="G40" s="30" t="s">
        <v>70</v>
      </c>
      <c r="H40" s="27"/>
      <c r="I40" s="19"/>
    </row>
    <row r="41" spans="1:9" x14ac:dyDescent="0.25">
      <c r="A41" s="267"/>
      <c r="B41" s="132"/>
      <c r="C41" s="28" t="s">
        <v>24</v>
      </c>
      <c r="D41" s="52" t="s">
        <v>64</v>
      </c>
      <c r="E41" s="24">
        <f>E39+1</f>
        <v>2</v>
      </c>
      <c r="F41" s="29"/>
      <c r="G41" s="30" t="s">
        <v>70</v>
      </c>
      <c r="H41" s="27"/>
      <c r="I41" s="19"/>
    </row>
    <row r="42" spans="1:9" x14ac:dyDescent="0.25">
      <c r="A42" s="267"/>
      <c r="B42" s="132"/>
      <c r="C42" s="28" t="s">
        <v>25</v>
      </c>
      <c r="D42" s="53" t="str">
        <f>D34</f>
        <v>OTEC</v>
      </c>
      <c r="E42" s="24">
        <f>IF(E40="","",MOD(E40+2,52))</f>
        <v>5</v>
      </c>
      <c r="F42" s="29"/>
      <c r="G42" s="30"/>
      <c r="H42" s="27"/>
      <c r="I42" s="19"/>
    </row>
    <row r="43" spans="1:9" x14ac:dyDescent="0.25">
      <c r="A43" s="257"/>
      <c r="B43" s="143">
        <f>A43</f>
        <v>0</v>
      </c>
      <c r="C43" s="81" t="s">
        <v>147</v>
      </c>
      <c r="D43" s="52" t="str">
        <f>D44</f>
        <v>BECHTEL</v>
      </c>
      <c r="E43" s="82">
        <f>E44</f>
        <v>5</v>
      </c>
      <c r="F43" s="83"/>
      <c r="G43" s="72"/>
      <c r="H43" s="27"/>
      <c r="I43" s="19"/>
    </row>
    <row r="44" spans="1:9" x14ac:dyDescent="0.25">
      <c r="A44" s="257"/>
      <c r="B44" s="143">
        <f>A44</f>
        <v>0</v>
      </c>
      <c r="C44" s="81" t="s">
        <v>139</v>
      </c>
      <c r="D44" s="193" t="s">
        <v>54</v>
      </c>
      <c r="E44" s="82">
        <f>IF(E40="","",MOD(E40+2,52))</f>
        <v>5</v>
      </c>
      <c r="F44" s="83"/>
      <c r="G44" s="72"/>
      <c r="H44" s="194"/>
      <c r="I44" s="19"/>
    </row>
    <row r="45" spans="1:9" x14ac:dyDescent="0.25">
      <c r="A45" s="267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268"/>
      <c r="B46" s="146"/>
      <c r="C46" s="387" t="s">
        <v>146</v>
      </c>
      <c r="D46" s="388"/>
      <c r="E46" s="388"/>
      <c r="F46" s="388"/>
      <c r="G46" s="388"/>
      <c r="H46" s="389"/>
      <c r="I46" s="19"/>
    </row>
    <row r="47" spans="1:9" ht="15.75" thickBot="1" x14ac:dyDescent="0.3">
      <c r="A47" s="267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257"/>
      <c r="B48" s="143">
        <f>A48</f>
        <v>0</v>
      </c>
      <c r="C48" s="88" t="s">
        <v>26</v>
      </c>
      <c r="D48" s="52" t="s">
        <v>57</v>
      </c>
      <c r="E48" s="89">
        <f>E32+1</f>
        <v>50</v>
      </c>
      <c r="F48" s="25"/>
      <c r="G48" s="26"/>
      <c r="H48" s="27"/>
      <c r="I48" s="19"/>
    </row>
    <row r="49" spans="1:9" x14ac:dyDescent="0.25">
      <c r="A49" s="133"/>
      <c r="B49" s="173"/>
      <c r="C49" s="102" t="s">
        <v>69</v>
      </c>
      <c r="D49" s="103" t="s">
        <v>64</v>
      </c>
      <c r="E49" s="104">
        <f>E48</f>
        <v>50</v>
      </c>
      <c r="F49" s="105"/>
      <c r="G49" s="106" t="s">
        <v>70</v>
      </c>
      <c r="H49" s="27"/>
      <c r="I49" s="19"/>
    </row>
    <row r="50" spans="1:9" x14ac:dyDescent="0.25">
      <c r="A50" s="133"/>
      <c r="B50" s="173"/>
      <c r="C50" s="92" t="s">
        <v>61</v>
      </c>
      <c r="D50" s="99" t="s">
        <v>68</v>
      </c>
      <c r="E50" s="101">
        <f>E48+1</f>
        <v>51</v>
      </c>
      <c r="F50" s="95"/>
      <c r="G50" s="96" t="s">
        <v>9</v>
      </c>
      <c r="H50" s="97"/>
      <c r="I50" s="19"/>
    </row>
    <row r="51" spans="1:9" x14ac:dyDescent="0.25">
      <c r="A51" s="133">
        <f>SUM(A12:A50)</f>
        <v>17578.13</v>
      </c>
      <c r="B51" s="133">
        <f>SUM(B12:B50)</f>
        <v>2588.6299999999987</v>
      </c>
      <c r="C51" s="91" t="s">
        <v>27</v>
      </c>
      <c r="D51" s="52" t="s">
        <v>64</v>
      </c>
      <c r="E51" s="90">
        <f>E48+3</f>
        <v>53</v>
      </c>
      <c r="F51" s="29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7" t="s">
        <v>142</v>
      </c>
      <c r="I54" s="19"/>
    </row>
    <row r="55" spans="1:9" x14ac:dyDescent="0.25">
      <c r="A55" s="42"/>
      <c r="B55" s="126"/>
      <c r="C55" s="43" t="s">
        <v>122</v>
      </c>
      <c r="D55" s="107">
        <v>43206</v>
      </c>
      <c r="E55" s="44"/>
      <c r="F55" s="45" t="s">
        <v>109</v>
      </c>
      <c r="G55" s="18"/>
      <c r="H55" s="398"/>
      <c r="I55" s="19"/>
    </row>
    <row r="56" spans="1:9" x14ac:dyDescent="0.25">
      <c r="A56" s="42"/>
      <c r="B56" s="126"/>
      <c r="C56" s="33" t="s">
        <v>123</v>
      </c>
      <c r="D56" s="49">
        <v>43265</v>
      </c>
      <c r="E56" s="46"/>
      <c r="F56" s="2" t="s">
        <v>109</v>
      </c>
      <c r="G56" s="18"/>
      <c r="H56" s="399" t="e">
        <f>DATEDIF(E3,D58,"m")&amp;"mois"&amp;DATEDIF(E3,D58,"md")&amp;"jours"</f>
        <v>#NUM!</v>
      </c>
      <c r="I56" s="19"/>
    </row>
    <row r="57" spans="1:9" ht="15.75" thickBot="1" x14ac:dyDescent="0.3">
      <c r="A57" s="42"/>
      <c r="B57" s="126"/>
      <c r="C57" s="33" t="s">
        <v>31</v>
      </c>
      <c r="D57" s="176"/>
      <c r="E57" s="46"/>
      <c r="F57" s="2"/>
      <c r="G57" s="18"/>
      <c r="H57" s="400"/>
      <c r="I57" s="19"/>
    </row>
    <row r="58" spans="1:9" x14ac:dyDescent="0.25">
      <c r="A58" s="42"/>
      <c r="B58" s="126"/>
      <c r="C58" s="47" t="s">
        <v>32</v>
      </c>
      <c r="D58" s="184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1"/>
      <c r="D60" s="371"/>
      <c r="E60" s="371"/>
      <c r="F60" s="371"/>
      <c r="G60" s="371"/>
      <c r="H60" s="371"/>
      <c r="I60" s="372"/>
    </row>
    <row r="61" spans="1:9" x14ac:dyDescent="0.25">
      <c r="A61" s="34"/>
      <c r="B61" s="18"/>
      <c r="C61" s="373"/>
      <c r="D61" s="373"/>
      <c r="E61" s="373"/>
      <c r="F61" s="373"/>
      <c r="G61" s="373"/>
      <c r="H61" s="373"/>
      <c r="I61" s="374"/>
    </row>
    <row r="62" spans="1:9" x14ac:dyDescent="0.25">
      <c r="A62" s="34"/>
      <c r="B62" s="18"/>
      <c r="C62" s="373"/>
      <c r="D62" s="373"/>
      <c r="E62" s="373"/>
      <c r="F62" s="373"/>
      <c r="G62" s="373"/>
      <c r="H62" s="373"/>
      <c r="I62" s="374"/>
    </row>
    <row r="63" spans="1:9" x14ac:dyDescent="0.25">
      <c r="A63" s="34"/>
      <c r="B63" s="18"/>
      <c r="C63" s="373"/>
      <c r="D63" s="373"/>
      <c r="E63" s="373"/>
      <c r="F63" s="373"/>
      <c r="G63" s="373"/>
      <c r="H63" s="373"/>
      <c r="I63" s="374"/>
    </row>
    <row r="64" spans="1:9" x14ac:dyDescent="0.25">
      <c r="A64" s="34"/>
      <c r="B64" s="18"/>
      <c r="C64" s="373"/>
      <c r="D64" s="373"/>
      <c r="E64" s="373"/>
      <c r="F64" s="373"/>
      <c r="G64" s="373"/>
      <c r="H64" s="373"/>
      <c r="I64" s="374"/>
    </row>
    <row r="65" spans="1:9" x14ac:dyDescent="0.25">
      <c r="A65" s="44"/>
      <c r="B65" s="45"/>
      <c r="C65" s="375"/>
      <c r="D65" s="375"/>
      <c r="E65" s="375"/>
      <c r="F65" s="375"/>
      <c r="G65" s="375"/>
      <c r="H65" s="375"/>
      <c r="I65" s="376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H54:H55"/>
    <mergeCell ref="H56:H57"/>
    <mergeCell ref="C60:I65"/>
    <mergeCell ref="E4:F4"/>
    <mergeCell ref="A5:B5"/>
    <mergeCell ref="A6:B6"/>
    <mergeCell ref="C6:H6"/>
    <mergeCell ref="C27:H27"/>
    <mergeCell ref="C46:H46"/>
    <mergeCell ref="A1:G1"/>
    <mergeCell ref="A2:B2"/>
    <mergeCell ref="E2:F2"/>
    <mergeCell ref="H2:I2"/>
    <mergeCell ref="A3:B3"/>
    <mergeCell ref="E3:F3"/>
    <mergeCell ref="H3:I3"/>
  </mergeCells>
  <conditionalFormatting sqref="C52:G52">
    <cfRule type="expression" dxfId="932" priority="70">
      <formula>$F52="réalisé"</formula>
    </cfRule>
  </conditionalFormatting>
  <conditionalFormatting sqref="C48:C51 E48:H51 E29:H45 C8:H26">
    <cfRule type="expression" dxfId="931" priority="67">
      <formula>$G8="réalisé"</formula>
    </cfRule>
    <cfRule type="expression" dxfId="930" priority="68">
      <formula>$G8="en cours"</formula>
    </cfRule>
    <cfRule type="expression" dxfId="929" priority="69">
      <formula>$G8="non compris"</formula>
    </cfRule>
  </conditionalFormatting>
  <conditionalFormatting sqref="C29:C45">
    <cfRule type="expression" dxfId="928" priority="64">
      <formula>$G29="réalisé"</formula>
    </cfRule>
    <cfRule type="expression" dxfId="927" priority="65">
      <formula>$G29="en cours"</formula>
    </cfRule>
    <cfRule type="expression" dxfId="926" priority="66">
      <formula>$G29="non compris"</formula>
    </cfRule>
  </conditionalFormatting>
  <conditionalFormatting sqref="C55:F58">
    <cfRule type="expression" dxfId="925" priority="63">
      <formula>$F55="réalisé"</formula>
    </cfRule>
  </conditionalFormatting>
  <conditionalFormatting sqref="G9">
    <cfRule type="expression" dxfId="924" priority="62">
      <formula>$G$10="réalisé"</formula>
    </cfRule>
  </conditionalFormatting>
  <conditionalFormatting sqref="G10:G14">
    <cfRule type="expression" dxfId="923" priority="61">
      <formula>$G$15="réalisé"</formula>
    </cfRule>
  </conditionalFormatting>
  <conditionalFormatting sqref="G20:G21">
    <cfRule type="expression" dxfId="922" priority="60">
      <formula>$G$22="réalisé"</formula>
    </cfRule>
  </conditionalFormatting>
  <conditionalFormatting sqref="G30">
    <cfRule type="expression" dxfId="921" priority="59">
      <formula>$G$31="réalisé"</formula>
    </cfRule>
  </conditionalFormatting>
  <conditionalFormatting sqref="D29">
    <cfRule type="expression" dxfId="920" priority="56">
      <formula>$G29="réalisé"</formula>
    </cfRule>
    <cfRule type="expression" dxfId="919" priority="57">
      <formula>$G29="en cours"</formula>
    </cfRule>
    <cfRule type="expression" dxfId="918" priority="58">
      <formula>$G29="non compris"</formula>
    </cfRule>
  </conditionalFormatting>
  <conditionalFormatting sqref="D31">
    <cfRule type="expression" dxfId="917" priority="53">
      <formula>$G31="réalisé"</formula>
    </cfRule>
    <cfRule type="expression" dxfId="916" priority="54">
      <formula>$G31="en cours"</formula>
    </cfRule>
    <cfRule type="expression" dxfId="915" priority="55">
      <formula>$G31="non compris"</formula>
    </cfRule>
  </conditionalFormatting>
  <conditionalFormatting sqref="D33">
    <cfRule type="expression" dxfId="914" priority="50">
      <formula>$G33="réalisé"</formula>
    </cfRule>
    <cfRule type="expression" dxfId="913" priority="51">
      <formula>$G33="en cours"</formula>
    </cfRule>
    <cfRule type="expression" dxfId="912" priority="52">
      <formula>$G33="non compris"</formula>
    </cfRule>
  </conditionalFormatting>
  <conditionalFormatting sqref="D35">
    <cfRule type="expression" dxfId="911" priority="47">
      <formula>$G35="réalisé"</formula>
    </cfRule>
    <cfRule type="expression" dxfId="910" priority="48">
      <formula>$G35="en cours"</formula>
    </cfRule>
    <cfRule type="expression" dxfId="909" priority="49">
      <formula>$G35="non compris"</formula>
    </cfRule>
  </conditionalFormatting>
  <conditionalFormatting sqref="D37">
    <cfRule type="expression" dxfId="908" priority="44">
      <formula>$G37="réalisé"</formula>
    </cfRule>
    <cfRule type="expression" dxfId="907" priority="45">
      <formula>$G37="en cours"</formula>
    </cfRule>
    <cfRule type="expression" dxfId="906" priority="46">
      <formula>$G37="non compris"</formula>
    </cfRule>
  </conditionalFormatting>
  <conditionalFormatting sqref="D39">
    <cfRule type="expression" dxfId="905" priority="41">
      <formula>$G39="réalisé"</formula>
    </cfRule>
    <cfRule type="expression" dxfId="904" priority="42">
      <formula>$G39="en cours"</formula>
    </cfRule>
    <cfRule type="expression" dxfId="903" priority="43">
      <formula>$G39="non compris"</formula>
    </cfRule>
  </conditionalFormatting>
  <conditionalFormatting sqref="D41">
    <cfRule type="expression" dxfId="902" priority="38">
      <formula>$G41="réalisé"</formula>
    </cfRule>
    <cfRule type="expression" dxfId="901" priority="39">
      <formula>$G41="en cours"</formula>
    </cfRule>
    <cfRule type="expression" dxfId="900" priority="40">
      <formula>$G41="non compris"</formula>
    </cfRule>
  </conditionalFormatting>
  <conditionalFormatting sqref="D44:D45">
    <cfRule type="expression" dxfId="899" priority="35">
      <formula>$G44="réalisé"</formula>
    </cfRule>
    <cfRule type="expression" dxfId="898" priority="36">
      <formula>$G44="en cours"</formula>
    </cfRule>
    <cfRule type="expression" dxfId="897" priority="37">
      <formula>$G44="non compris"</formula>
    </cfRule>
  </conditionalFormatting>
  <conditionalFormatting sqref="D30">
    <cfRule type="expression" dxfId="896" priority="32">
      <formula>$G30="réalisé"</formula>
    </cfRule>
    <cfRule type="expression" dxfId="895" priority="33">
      <formula>$G30="en cours"</formula>
    </cfRule>
    <cfRule type="expression" dxfId="894" priority="34">
      <formula>$G30="non compris"</formula>
    </cfRule>
  </conditionalFormatting>
  <conditionalFormatting sqref="D32">
    <cfRule type="expression" dxfId="893" priority="29">
      <formula>$G32="réalisé"</formula>
    </cfRule>
    <cfRule type="expression" dxfId="892" priority="30">
      <formula>$G32="en cours"</formula>
    </cfRule>
    <cfRule type="expression" dxfId="891" priority="31">
      <formula>$G32="non compris"</formula>
    </cfRule>
  </conditionalFormatting>
  <conditionalFormatting sqref="D34">
    <cfRule type="expression" dxfId="890" priority="26">
      <formula>$G34="réalisé"</formula>
    </cfRule>
    <cfRule type="expression" dxfId="889" priority="27">
      <formula>$G34="en cours"</formula>
    </cfRule>
    <cfRule type="expression" dxfId="888" priority="28">
      <formula>$G34="non compris"</formula>
    </cfRule>
  </conditionalFormatting>
  <conditionalFormatting sqref="D36">
    <cfRule type="expression" dxfId="887" priority="23">
      <formula>$G36="réalisé"</formula>
    </cfRule>
    <cfRule type="expression" dxfId="886" priority="24">
      <formula>$G36="en cours"</formula>
    </cfRule>
    <cfRule type="expression" dxfId="885" priority="25">
      <formula>$G36="non compris"</formula>
    </cfRule>
  </conditionalFormatting>
  <conditionalFormatting sqref="D38">
    <cfRule type="expression" dxfId="884" priority="20">
      <formula>$G38="réalisé"</formula>
    </cfRule>
    <cfRule type="expression" dxfId="883" priority="21">
      <formula>$G38="en cours"</formula>
    </cfRule>
    <cfRule type="expression" dxfId="882" priority="22">
      <formula>$G38="non compris"</formula>
    </cfRule>
  </conditionalFormatting>
  <conditionalFormatting sqref="D40">
    <cfRule type="expression" dxfId="881" priority="17">
      <formula>$G40="réalisé"</formula>
    </cfRule>
    <cfRule type="expression" dxfId="880" priority="18">
      <formula>$G40="en cours"</formula>
    </cfRule>
    <cfRule type="expression" dxfId="879" priority="19">
      <formula>$G40="non compris"</formula>
    </cfRule>
  </conditionalFormatting>
  <conditionalFormatting sqref="D42:D43">
    <cfRule type="expression" dxfId="878" priority="14">
      <formula>$G42="réalisé"</formula>
    </cfRule>
    <cfRule type="expression" dxfId="877" priority="15">
      <formula>$G42="en cours"</formula>
    </cfRule>
    <cfRule type="expression" dxfId="876" priority="16">
      <formula>$G42="non compris"</formula>
    </cfRule>
  </conditionalFormatting>
  <conditionalFormatting sqref="D50">
    <cfRule type="expression" dxfId="875" priority="11">
      <formula>$G50="réalisé"</formula>
    </cfRule>
    <cfRule type="expression" dxfId="874" priority="12">
      <formula>$G50="en cours"</formula>
    </cfRule>
    <cfRule type="expression" dxfId="873" priority="13">
      <formula>$G50="non compris"</formula>
    </cfRule>
  </conditionalFormatting>
  <conditionalFormatting sqref="D49">
    <cfRule type="expression" dxfId="872" priority="8">
      <formula>$G49="réalisé"</formula>
    </cfRule>
    <cfRule type="expression" dxfId="871" priority="9">
      <formula>$G49="en cours"</formula>
    </cfRule>
    <cfRule type="expression" dxfId="870" priority="10">
      <formula>$G49="non compris"</formula>
    </cfRule>
  </conditionalFormatting>
  <conditionalFormatting sqref="D48">
    <cfRule type="expression" dxfId="869" priority="5">
      <formula>$G48="réalisé"</formula>
    </cfRule>
    <cfRule type="expression" dxfId="868" priority="6">
      <formula>$G48="en cours"</formula>
    </cfRule>
    <cfRule type="expression" dxfId="867" priority="7">
      <formula>$G48="non compris"</formula>
    </cfRule>
  </conditionalFormatting>
  <conditionalFormatting sqref="D51">
    <cfRule type="expression" dxfId="866" priority="2">
      <formula>$G51="réalisé"</formula>
    </cfRule>
    <cfRule type="expression" dxfId="865" priority="3">
      <formula>$G51="en cours"</formula>
    </cfRule>
    <cfRule type="expression" dxfId="864" priority="4">
      <formula>$G51="non compris"</formula>
    </cfRule>
  </conditionalFormatting>
  <conditionalFormatting sqref="D8:D26">
    <cfRule type="expression" dxfId="863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82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>
    <tabColor rgb="FF00B050"/>
    <pageSetUpPr fitToPage="1"/>
  </sheetPr>
  <dimension ref="A1:I74"/>
  <sheetViews>
    <sheetView topLeftCell="A4" zoomScaleNormal="100" workbookViewId="0">
      <selection activeCell="A15" sqref="A15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style="340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7" t="s">
        <v>0</v>
      </c>
      <c r="B1" s="378"/>
      <c r="C1" s="378"/>
      <c r="D1" s="378"/>
      <c r="E1" s="378"/>
      <c r="F1" s="378"/>
      <c r="G1" s="378"/>
      <c r="H1" s="1" t="s">
        <v>1</v>
      </c>
      <c r="I1" s="3">
        <f ca="1">INT(MOD(INT((LISTE!D1-2)/7)+0.6,52+5/28))+1</f>
        <v>41</v>
      </c>
    </row>
    <row r="2" spans="1:9" x14ac:dyDescent="0.25">
      <c r="A2" s="390" t="s">
        <v>2</v>
      </c>
      <c r="B2" s="391"/>
      <c r="C2" s="70" t="str">
        <f ca="1">MID(CELL("nomfichier",A1),FIND("]",CELL("nomfichier",A1),1)+1,30)</f>
        <v>SCHMITT</v>
      </c>
      <c r="D2" s="4" t="s">
        <v>72</v>
      </c>
      <c r="E2" s="379">
        <v>43143</v>
      </c>
      <c r="F2" s="379"/>
      <c r="G2" s="5"/>
      <c r="H2" s="380" t="s">
        <v>143</v>
      </c>
      <c r="I2" s="381"/>
    </row>
    <row r="3" spans="1:9" ht="15.75" x14ac:dyDescent="0.25">
      <c r="A3" s="392" t="s">
        <v>106</v>
      </c>
      <c r="B3" s="384"/>
      <c r="C3" s="6" t="s">
        <v>195</v>
      </c>
      <c r="D3" s="7" t="s">
        <v>3</v>
      </c>
      <c r="E3" s="382">
        <v>43271</v>
      </c>
      <c r="F3" s="383"/>
      <c r="G3" s="8"/>
      <c r="H3" s="384" t="str">
        <f ca="1">DATEDIF(E3,TODAY(),"m")&amp;"mois"&amp;-DATEDIF(E3,TODAY(),"md")&amp;"jours"</f>
        <v>3mois-22jours</v>
      </c>
      <c r="I3" s="385"/>
    </row>
    <row r="4" spans="1:9" ht="18.75" x14ac:dyDescent="0.25">
      <c r="A4" s="69" t="s">
        <v>117</v>
      </c>
      <c r="B4" s="129"/>
      <c r="C4" s="9" t="s">
        <v>120</v>
      </c>
      <c r="D4" s="10" t="s">
        <v>4</v>
      </c>
      <c r="E4" s="386">
        <f>E3+60</f>
        <v>43331</v>
      </c>
      <c r="F4" s="386"/>
      <c r="G4" s="11"/>
      <c r="H4" s="12"/>
      <c r="I4" s="13"/>
    </row>
    <row r="5" spans="1:9" x14ac:dyDescent="0.25">
      <c r="A5" s="393" t="s">
        <v>76</v>
      </c>
      <c r="B5" s="394"/>
      <c r="C5" s="15"/>
      <c r="D5" s="16"/>
      <c r="E5" s="15"/>
      <c r="F5" s="321"/>
      <c r="G5" s="17"/>
      <c r="H5" s="18"/>
      <c r="I5" s="19"/>
    </row>
    <row r="6" spans="1:9" ht="18.75" x14ac:dyDescent="0.3">
      <c r="A6" s="395" t="s">
        <v>75</v>
      </c>
      <c r="B6" s="396"/>
      <c r="C6" s="387" t="s">
        <v>145</v>
      </c>
      <c r="D6" s="388"/>
      <c r="E6" s="388"/>
      <c r="F6" s="388"/>
      <c r="G6" s="388"/>
      <c r="H6" s="389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322" t="s">
        <v>8</v>
      </c>
      <c r="G7" s="21" t="s">
        <v>34</v>
      </c>
      <c r="H7" s="23" t="s">
        <v>63</v>
      </c>
      <c r="I7" s="19"/>
    </row>
    <row r="8" spans="1:9" x14ac:dyDescent="0.25">
      <c r="A8" s="122"/>
      <c r="B8" s="200"/>
      <c r="C8" s="28" t="s">
        <v>124</v>
      </c>
      <c r="D8" s="52" t="s">
        <v>204</v>
      </c>
      <c r="E8" s="180">
        <f ca="1">I1</f>
        <v>41</v>
      </c>
      <c r="F8" s="323"/>
      <c r="G8" s="26" t="s">
        <v>36</v>
      </c>
      <c r="H8" s="27"/>
      <c r="I8" s="19"/>
    </row>
    <row r="9" spans="1:9" x14ac:dyDescent="0.25">
      <c r="A9" s="122"/>
      <c r="B9" s="130"/>
      <c r="C9" s="28" t="s">
        <v>131</v>
      </c>
      <c r="D9" s="53" t="str">
        <f>D8</f>
        <v>SA3 BÂTIMENT</v>
      </c>
      <c r="E9" s="181">
        <f ca="1">E8+1</f>
        <v>42</v>
      </c>
      <c r="F9" s="324"/>
      <c r="G9" s="30" t="s">
        <v>36</v>
      </c>
      <c r="H9" s="27"/>
      <c r="I9" s="19"/>
    </row>
    <row r="10" spans="1:9" ht="15" customHeight="1" x14ac:dyDescent="0.25">
      <c r="A10" s="131"/>
      <c r="B10" s="182"/>
      <c r="C10" s="28" t="s">
        <v>132</v>
      </c>
      <c r="D10" s="52" t="str">
        <f>D9</f>
        <v>SA3 BÂTIMENT</v>
      </c>
      <c r="E10" s="180">
        <f ca="1">E9</f>
        <v>42</v>
      </c>
      <c r="F10" s="324"/>
      <c r="G10" s="30" t="s">
        <v>36</v>
      </c>
      <c r="H10" s="27"/>
      <c r="I10" s="19"/>
    </row>
    <row r="11" spans="1:9" ht="15" customHeight="1" x14ac:dyDescent="0.25">
      <c r="A11" s="131"/>
      <c r="B11" s="132"/>
      <c r="C11" s="28" t="s">
        <v>133</v>
      </c>
      <c r="D11" s="54" t="str">
        <f>D8</f>
        <v>SA3 BÂTIMENT</v>
      </c>
      <c r="E11" s="180">
        <f ca="1">E10+1</f>
        <v>43</v>
      </c>
      <c r="F11" s="324"/>
      <c r="G11" s="30" t="s">
        <v>36</v>
      </c>
      <c r="H11" s="27"/>
      <c r="I11" s="19"/>
    </row>
    <row r="12" spans="1:9" ht="15" customHeight="1" x14ac:dyDescent="0.25">
      <c r="A12" s="144">
        <v>15414.83</v>
      </c>
      <c r="B12" s="143">
        <f>A12-3880-3880-2800-2854.65</f>
        <v>2000.1799999999998</v>
      </c>
      <c r="C12" s="28" t="s">
        <v>134</v>
      </c>
      <c r="D12" s="54" t="str">
        <f t="shared" ref="D12:D14" si="0">D9</f>
        <v>SA3 BÂTIMENT</v>
      </c>
      <c r="E12" s="180">
        <v>36</v>
      </c>
      <c r="F12" s="324"/>
      <c r="G12" s="30" t="s">
        <v>36</v>
      </c>
      <c r="H12" s="27"/>
      <c r="I12" s="19"/>
    </row>
    <row r="13" spans="1:9" ht="15" customHeight="1" x14ac:dyDescent="0.25">
      <c r="A13" s="131"/>
      <c r="B13" s="132"/>
      <c r="C13" s="28" t="s">
        <v>135</v>
      </c>
      <c r="D13" s="54" t="str">
        <f t="shared" si="0"/>
        <v>SA3 BÂTIMENT</v>
      </c>
      <c r="E13" s="180">
        <f>E12+1</f>
        <v>37</v>
      </c>
      <c r="F13" s="324"/>
      <c r="G13" s="30" t="s">
        <v>36</v>
      </c>
      <c r="H13" s="27"/>
      <c r="I13" s="19"/>
    </row>
    <row r="14" spans="1:9" ht="15" customHeight="1" x14ac:dyDescent="0.25">
      <c r="A14" s="131"/>
      <c r="B14" s="132"/>
      <c r="C14" s="28" t="s">
        <v>136</v>
      </c>
      <c r="D14" s="54" t="str">
        <f t="shared" si="0"/>
        <v>SA3 BÂTIMENT</v>
      </c>
      <c r="E14" s="180">
        <f>E13</f>
        <v>37</v>
      </c>
      <c r="F14" s="324"/>
      <c r="G14" s="30" t="s">
        <v>36</v>
      </c>
      <c r="H14" s="27"/>
      <c r="I14" s="19"/>
    </row>
    <row r="15" spans="1:9" x14ac:dyDescent="0.25">
      <c r="A15" s="131"/>
      <c r="B15" s="132"/>
      <c r="C15" s="28" t="s">
        <v>62</v>
      </c>
      <c r="D15" s="53" t="s">
        <v>64</v>
      </c>
      <c r="E15" s="24">
        <f ca="1">E10+4</f>
        <v>46</v>
      </c>
      <c r="F15" s="324"/>
      <c r="G15" s="30" t="s">
        <v>70</v>
      </c>
      <c r="H15" s="27"/>
      <c r="I15" s="19"/>
    </row>
    <row r="16" spans="1:9" x14ac:dyDescent="0.25">
      <c r="A16" s="131"/>
      <c r="B16" s="132"/>
      <c r="C16" s="28" t="s">
        <v>10</v>
      </c>
      <c r="D16" s="52" t="s">
        <v>64</v>
      </c>
      <c r="E16" s="24">
        <f ca="1">E10+1</f>
        <v>43</v>
      </c>
      <c r="F16" s="324"/>
      <c r="G16" s="30" t="s">
        <v>70</v>
      </c>
      <c r="H16" s="27"/>
      <c r="I16" s="19"/>
    </row>
    <row r="17" spans="1:9" x14ac:dyDescent="0.25">
      <c r="A17" s="267"/>
      <c r="B17" s="132"/>
      <c r="C17" s="28" t="s">
        <v>11</v>
      </c>
      <c r="D17" s="53" t="s">
        <v>189</v>
      </c>
      <c r="E17" s="24">
        <v>40</v>
      </c>
      <c r="F17" s="324"/>
      <c r="G17" s="30" t="s">
        <v>36</v>
      </c>
      <c r="H17" s="27"/>
      <c r="I17" s="19"/>
    </row>
    <row r="18" spans="1:9" x14ac:dyDescent="0.25">
      <c r="A18" s="144">
        <v>983.63</v>
      </c>
      <c r="B18" s="143">
        <f>A18</f>
        <v>983.63</v>
      </c>
      <c r="C18" s="28" t="s">
        <v>12</v>
      </c>
      <c r="D18" s="52" t="s">
        <v>40</v>
      </c>
      <c r="E18" s="180">
        <v>41</v>
      </c>
      <c r="F18" s="324">
        <v>43353</v>
      </c>
      <c r="G18" s="30" t="s">
        <v>36</v>
      </c>
      <c r="H18" s="27"/>
      <c r="I18" s="19"/>
    </row>
    <row r="19" spans="1:9" x14ac:dyDescent="0.25">
      <c r="A19" s="131"/>
      <c r="B19" s="132"/>
      <c r="C19" s="28" t="s">
        <v>73</v>
      </c>
      <c r="D19" s="53" t="str">
        <f>D10</f>
        <v>SA3 BÂTIMENT</v>
      </c>
      <c r="E19" s="24">
        <v>41</v>
      </c>
      <c r="F19" s="324">
        <v>43354</v>
      </c>
      <c r="G19" s="30" t="s">
        <v>36</v>
      </c>
      <c r="H19" s="27"/>
      <c r="I19" s="19"/>
    </row>
    <row r="20" spans="1:9" x14ac:dyDescent="0.25">
      <c r="A20" s="149">
        <v>1120.1300000000001</v>
      </c>
      <c r="B20" s="143">
        <f>A20</f>
        <v>1120.1300000000001</v>
      </c>
      <c r="C20" s="28" t="s">
        <v>59</v>
      </c>
      <c r="D20" s="52" t="s">
        <v>42</v>
      </c>
      <c r="E20" s="24">
        <f>IF(E19="","",MOD(E19+1,52))</f>
        <v>42</v>
      </c>
      <c r="F20" s="324"/>
      <c r="G20" s="30" t="s">
        <v>9</v>
      </c>
      <c r="H20" s="27"/>
      <c r="I20" s="19"/>
    </row>
    <row r="21" spans="1:9" x14ac:dyDescent="0.25">
      <c r="A21" s="149">
        <v>1064.08</v>
      </c>
      <c r="B21" s="143">
        <f>A21</f>
        <v>1064.08</v>
      </c>
      <c r="C21" s="28" t="s">
        <v>60</v>
      </c>
      <c r="D21" s="54" t="s">
        <v>42</v>
      </c>
      <c r="E21" s="24">
        <f>E20</f>
        <v>42</v>
      </c>
      <c r="F21" s="324"/>
      <c r="G21" s="30" t="s">
        <v>9</v>
      </c>
      <c r="H21" s="50"/>
      <c r="I21" s="19"/>
    </row>
    <row r="22" spans="1:9" x14ac:dyDescent="0.25">
      <c r="A22" s="131"/>
      <c r="B22" s="132"/>
      <c r="C22" s="167" t="s">
        <v>13</v>
      </c>
      <c r="D22" s="168" t="s">
        <v>68</v>
      </c>
      <c r="E22" s="169">
        <f>E20</f>
        <v>42</v>
      </c>
      <c r="F22" s="325"/>
      <c r="G22" s="171" t="s">
        <v>9</v>
      </c>
      <c r="H22" s="172"/>
      <c r="I22" s="19"/>
    </row>
    <row r="23" spans="1:9" x14ac:dyDescent="0.25">
      <c r="A23" s="144">
        <v>1769.06</v>
      </c>
      <c r="B23" s="143">
        <f>A23-1769.06</f>
        <v>0</v>
      </c>
      <c r="C23" s="32" t="s">
        <v>138</v>
      </c>
      <c r="D23" s="52" t="s">
        <v>45</v>
      </c>
      <c r="E23" s="24">
        <f>IF(E20="","",MOD(E20+2,52))</f>
        <v>44</v>
      </c>
      <c r="F23" s="324"/>
      <c r="G23" s="30" t="s">
        <v>9</v>
      </c>
      <c r="H23" s="27"/>
      <c r="I23" s="19"/>
    </row>
    <row r="24" spans="1:9" x14ac:dyDescent="0.25">
      <c r="A24" s="131"/>
      <c r="B24" s="132"/>
      <c r="C24" s="28" t="s">
        <v>14</v>
      </c>
      <c r="D24" s="53" t="str">
        <f>D17</f>
        <v>EURO ECHAFAUDAGE</v>
      </c>
      <c r="E24" s="24">
        <f>IF(E20="","",MOD(E20+2,52))</f>
        <v>44</v>
      </c>
      <c r="F24" s="324"/>
      <c r="G24" s="30" t="s">
        <v>9</v>
      </c>
      <c r="H24" s="27"/>
      <c r="I24" s="19"/>
    </row>
    <row r="25" spans="1:9" x14ac:dyDescent="0.25">
      <c r="A25" s="144"/>
      <c r="B25" s="143">
        <f>A25</f>
        <v>0</v>
      </c>
      <c r="C25" s="183" t="s">
        <v>137</v>
      </c>
      <c r="D25" s="53" t="s">
        <v>56</v>
      </c>
      <c r="E25" s="24">
        <f>E23</f>
        <v>44</v>
      </c>
      <c r="F25" s="324"/>
      <c r="G25" s="72" t="s">
        <v>9</v>
      </c>
      <c r="H25" s="27"/>
      <c r="I25" s="19"/>
    </row>
    <row r="26" spans="1:9" x14ac:dyDescent="0.25">
      <c r="A26" s="131"/>
      <c r="B26" s="132"/>
      <c r="C26" s="191"/>
      <c r="D26" s="150"/>
      <c r="E26" s="192"/>
      <c r="F26" s="326"/>
      <c r="G26" s="73"/>
      <c r="H26" s="151"/>
      <c r="I26" s="19"/>
    </row>
    <row r="27" spans="1:9" ht="18.75" x14ac:dyDescent="0.3">
      <c r="A27" s="145"/>
      <c r="B27" s="146"/>
      <c r="C27" s="387" t="s">
        <v>144</v>
      </c>
      <c r="D27" s="388"/>
      <c r="E27" s="388"/>
      <c r="F27" s="388"/>
      <c r="G27" s="388"/>
      <c r="H27" s="389"/>
      <c r="I27" s="19"/>
    </row>
    <row r="28" spans="1:9" ht="15.75" thickBot="1" x14ac:dyDescent="0.3">
      <c r="A28" s="131"/>
      <c r="B28" s="132"/>
      <c r="C28" s="74" t="s">
        <v>5</v>
      </c>
      <c r="D28" s="87" t="s">
        <v>6</v>
      </c>
      <c r="E28" s="76" t="s">
        <v>7</v>
      </c>
      <c r="F28" s="327" t="s">
        <v>37</v>
      </c>
      <c r="G28" s="75" t="s">
        <v>34</v>
      </c>
      <c r="H28" s="77" t="s">
        <v>63</v>
      </c>
      <c r="I28" s="19"/>
    </row>
    <row r="29" spans="1:9" x14ac:dyDescent="0.25">
      <c r="A29" s="144">
        <v>833.75</v>
      </c>
      <c r="B29" s="143">
        <f>A29</f>
        <v>833.75</v>
      </c>
      <c r="C29" s="78" t="s">
        <v>66</v>
      </c>
      <c r="D29" s="52" t="s">
        <v>90</v>
      </c>
      <c r="E29" s="79">
        <f>IF(E24="","",MOD(E24+1,52))</f>
        <v>45</v>
      </c>
      <c r="F29" s="323"/>
      <c r="G29" s="26" t="s">
        <v>9</v>
      </c>
      <c r="H29" s="27"/>
      <c r="I29" s="19"/>
    </row>
    <row r="30" spans="1:9" x14ac:dyDescent="0.25">
      <c r="A30" s="144">
        <v>1101.67</v>
      </c>
      <c r="B30" s="143">
        <f>A30</f>
        <v>1101.67</v>
      </c>
      <c r="C30" s="28" t="s">
        <v>67</v>
      </c>
      <c r="D30" s="53" t="s">
        <v>47</v>
      </c>
      <c r="E30" s="24">
        <f>IF(E29="","",MOD(E29+1,52))</f>
        <v>46</v>
      </c>
      <c r="F30" s="324"/>
      <c r="G30" s="30"/>
      <c r="H30" s="27"/>
      <c r="I30" s="19"/>
    </row>
    <row r="31" spans="1:9" x14ac:dyDescent="0.25">
      <c r="A31" s="131"/>
      <c r="B31" s="132"/>
      <c r="C31" s="62" t="s">
        <v>16</v>
      </c>
      <c r="D31" s="52" t="str">
        <f>D29</f>
        <v>ELECTRO HECKER</v>
      </c>
      <c r="E31" s="24">
        <f>IF(E30="","",MOD(E30+2,52))</f>
        <v>48</v>
      </c>
      <c r="F31" s="324"/>
      <c r="G31" s="30"/>
      <c r="H31" s="27"/>
      <c r="I31" s="19"/>
    </row>
    <row r="32" spans="1:9" x14ac:dyDescent="0.25">
      <c r="A32" s="144"/>
      <c r="B32" s="143">
        <f>A32</f>
        <v>0</v>
      </c>
      <c r="C32" s="80" t="s">
        <v>17</v>
      </c>
      <c r="D32" s="53" t="s">
        <v>50</v>
      </c>
      <c r="E32" s="24">
        <f>IF(E30="","",MOD(E30+2,52))</f>
        <v>48</v>
      </c>
      <c r="F32" s="324"/>
      <c r="G32" s="30"/>
      <c r="H32" s="27"/>
      <c r="I32" s="19"/>
    </row>
    <row r="33" spans="1:9" x14ac:dyDescent="0.25">
      <c r="A33" s="143"/>
      <c r="B33" s="143"/>
      <c r="C33" s="62" t="s">
        <v>140</v>
      </c>
      <c r="D33" s="52" t="s">
        <v>64</v>
      </c>
      <c r="E33" s="24">
        <f>IF(E32="","",MOD(E32+1,52))</f>
        <v>49</v>
      </c>
      <c r="F33" s="324"/>
      <c r="G33" s="30"/>
      <c r="H33" s="27"/>
      <c r="I33" s="19"/>
    </row>
    <row r="34" spans="1:9" x14ac:dyDescent="0.25">
      <c r="A34" s="143"/>
      <c r="B34" s="143">
        <f>A34</f>
        <v>0</v>
      </c>
      <c r="C34" s="28" t="s">
        <v>141</v>
      </c>
      <c r="D34" s="53" t="s">
        <v>64</v>
      </c>
      <c r="E34" s="24">
        <f>IF(E32="","",MOD(E32+1,52))</f>
        <v>49</v>
      </c>
      <c r="F34" s="324"/>
      <c r="G34" s="30"/>
      <c r="H34" s="27"/>
      <c r="I34" s="19"/>
    </row>
    <row r="35" spans="1:9" x14ac:dyDescent="0.25">
      <c r="A35" s="131"/>
      <c r="B35" s="132"/>
      <c r="C35" s="92" t="s">
        <v>18</v>
      </c>
      <c r="D35" s="93" t="s">
        <v>68</v>
      </c>
      <c r="E35" s="94"/>
      <c r="F35" s="328"/>
      <c r="G35" s="96"/>
      <c r="H35" s="97"/>
      <c r="I35" s="19"/>
    </row>
    <row r="36" spans="1:9" x14ac:dyDescent="0.25">
      <c r="A36" s="144"/>
      <c r="B36" s="143">
        <f>A36</f>
        <v>0</v>
      </c>
      <c r="C36" s="28" t="s">
        <v>19</v>
      </c>
      <c r="D36" s="53" t="s">
        <v>206</v>
      </c>
      <c r="E36" s="24">
        <f>IF(E34="","",MOD(E34+1,52))</f>
        <v>50</v>
      </c>
      <c r="F36" s="324"/>
      <c r="G36" s="30"/>
      <c r="H36" s="27"/>
      <c r="I36" s="19"/>
    </row>
    <row r="37" spans="1:9" x14ac:dyDescent="0.25">
      <c r="A37" s="131"/>
      <c r="B37" s="132"/>
      <c r="C37" s="28" t="s">
        <v>20</v>
      </c>
      <c r="D37" s="52" t="str">
        <f>D30</f>
        <v>SOARES</v>
      </c>
      <c r="E37" s="24">
        <f>IF(E36="","",MOD(E36+1,52))</f>
        <v>51</v>
      </c>
      <c r="F37" s="324"/>
      <c r="G37" s="30"/>
      <c r="H37" s="27"/>
      <c r="I37" s="19"/>
    </row>
    <row r="38" spans="1:9" x14ac:dyDescent="0.25">
      <c r="A38" s="131"/>
      <c r="B38" s="132"/>
      <c r="C38" s="28" t="s">
        <v>21</v>
      </c>
      <c r="D38" s="53" t="str">
        <f>D29</f>
        <v>ELECTRO HECKER</v>
      </c>
      <c r="E38" s="24">
        <f>IF(E37="","",MOD(E37+1,52))</f>
        <v>0</v>
      </c>
      <c r="F38" s="324"/>
      <c r="G38" s="30" t="s">
        <v>9</v>
      </c>
      <c r="H38" s="27"/>
      <c r="I38" s="19"/>
    </row>
    <row r="39" spans="1:9" x14ac:dyDescent="0.25">
      <c r="A39" s="131"/>
      <c r="B39" s="132"/>
      <c r="C39" s="28" t="s">
        <v>22</v>
      </c>
      <c r="D39" s="52" t="str">
        <f>D32</f>
        <v>HERTFELDER</v>
      </c>
      <c r="E39" s="24">
        <f>IF(E37="","",MOD(E37+1,52))</f>
        <v>0</v>
      </c>
      <c r="F39" s="324"/>
      <c r="G39" s="30"/>
      <c r="H39" s="27"/>
      <c r="I39" s="19"/>
    </row>
    <row r="40" spans="1:9" x14ac:dyDescent="0.25">
      <c r="A40" s="131"/>
      <c r="B40" s="132"/>
      <c r="C40" s="28" t="s">
        <v>23</v>
      </c>
      <c r="D40" s="53" t="s">
        <v>64</v>
      </c>
      <c r="E40" s="24">
        <f>E36+4</f>
        <v>54</v>
      </c>
      <c r="F40" s="324"/>
      <c r="G40" s="30" t="s">
        <v>70</v>
      </c>
      <c r="H40" s="27"/>
      <c r="I40" s="19"/>
    </row>
    <row r="41" spans="1:9" x14ac:dyDescent="0.25">
      <c r="A41" s="131"/>
      <c r="B41" s="132"/>
      <c r="C41" s="28" t="s">
        <v>24</v>
      </c>
      <c r="D41" s="52" t="s">
        <v>64</v>
      </c>
      <c r="E41" s="24">
        <f>E39+1</f>
        <v>1</v>
      </c>
      <c r="F41" s="324"/>
      <c r="G41" s="30" t="s">
        <v>70</v>
      </c>
      <c r="H41" s="27"/>
      <c r="I41" s="19"/>
    </row>
    <row r="42" spans="1:9" x14ac:dyDescent="0.25">
      <c r="A42" s="131"/>
      <c r="B42" s="132"/>
      <c r="C42" s="28" t="s">
        <v>25</v>
      </c>
      <c r="D42" s="53" t="str">
        <f>D34</f>
        <v>A CHARGE CLIENT</v>
      </c>
      <c r="E42" s="24">
        <f>IF(E40="","",MOD(E40+2,52))</f>
        <v>4</v>
      </c>
      <c r="F42" s="324"/>
      <c r="G42" s="30"/>
      <c r="H42" s="27"/>
      <c r="I42" s="19"/>
    </row>
    <row r="43" spans="1:9" x14ac:dyDescent="0.25">
      <c r="A43" s="144"/>
      <c r="B43" s="143">
        <f>A43</f>
        <v>0</v>
      </c>
      <c r="C43" s="81" t="s">
        <v>147</v>
      </c>
      <c r="D43" s="52" t="str">
        <f>D44</f>
        <v>BECHTEL</v>
      </c>
      <c r="E43" s="82">
        <f>E44</f>
        <v>4</v>
      </c>
      <c r="F43" s="329"/>
      <c r="G43" s="72"/>
      <c r="H43" s="27"/>
      <c r="I43" s="19"/>
    </row>
    <row r="44" spans="1:9" x14ac:dyDescent="0.25">
      <c r="A44" s="144"/>
      <c r="B44" s="143">
        <f>A44</f>
        <v>0</v>
      </c>
      <c r="C44" s="81" t="s">
        <v>139</v>
      </c>
      <c r="D44" s="193" t="s">
        <v>54</v>
      </c>
      <c r="E44" s="82">
        <f>IF(E40="","",MOD(E40+2,52))</f>
        <v>4</v>
      </c>
      <c r="F44" s="329"/>
      <c r="G44" s="72"/>
      <c r="H44" s="194"/>
      <c r="I44" s="19"/>
    </row>
    <row r="45" spans="1:9" x14ac:dyDescent="0.25">
      <c r="A45" s="131"/>
      <c r="B45" s="132"/>
      <c r="C45" s="195"/>
      <c r="D45" s="150"/>
      <c r="E45" s="196"/>
      <c r="F45" s="330"/>
      <c r="G45" s="197"/>
      <c r="H45" s="151"/>
      <c r="I45" s="19"/>
    </row>
    <row r="46" spans="1:9" ht="18.75" x14ac:dyDescent="0.3">
      <c r="A46" s="145"/>
      <c r="B46" s="146"/>
      <c r="C46" s="387" t="s">
        <v>146</v>
      </c>
      <c r="D46" s="388"/>
      <c r="E46" s="388"/>
      <c r="F46" s="388"/>
      <c r="G46" s="388"/>
      <c r="H46" s="389"/>
      <c r="I46" s="19"/>
    </row>
    <row r="47" spans="1:9" ht="15.75" thickBot="1" x14ac:dyDescent="0.3">
      <c r="A47" s="131"/>
      <c r="B47" s="174"/>
      <c r="C47" s="84" t="s">
        <v>5</v>
      </c>
      <c r="D47" s="87" t="s">
        <v>6</v>
      </c>
      <c r="E47" s="85" t="s">
        <v>9</v>
      </c>
      <c r="F47" s="331" t="s">
        <v>37</v>
      </c>
      <c r="G47" s="84" t="s">
        <v>34</v>
      </c>
      <c r="H47" s="87" t="s">
        <v>63</v>
      </c>
      <c r="I47" s="19"/>
    </row>
    <row r="48" spans="1:9" x14ac:dyDescent="0.25">
      <c r="A48" s="143"/>
      <c r="B48" s="143">
        <f>A48</f>
        <v>0</v>
      </c>
      <c r="C48" s="88" t="s">
        <v>26</v>
      </c>
      <c r="D48" s="52" t="s">
        <v>64</v>
      </c>
      <c r="E48" s="89">
        <f>E32+1</f>
        <v>49</v>
      </c>
      <c r="F48" s="323"/>
      <c r="G48" s="26" t="s">
        <v>70</v>
      </c>
      <c r="H48" s="27"/>
      <c r="I48" s="19"/>
    </row>
    <row r="49" spans="1:9" x14ac:dyDescent="0.25">
      <c r="A49" s="133"/>
      <c r="B49" s="173"/>
      <c r="C49" s="102" t="s">
        <v>69</v>
      </c>
      <c r="D49" s="103" t="s">
        <v>64</v>
      </c>
      <c r="E49" s="104">
        <f>E48</f>
        <v>49</v>
      </c>
      <c r="F49" s="332"/>
      <c r="G49" s="106" t="s">
        <v>70</v>
      </c>
      <c r="H49" s="27"/>
      <c r="I49" s="19"/>
    </row>
    <row r="50" spans="1:9" x14ac:dyDescent="0.25">
      <c r="A50" s="133"/>
      <c r="B50" s="173"/>
      <c r="C50" s="92" t="s">
        <v>61</v>
      </c>
      <c r="D50" s="99" t="s">
        <v>68</v>
      </c>
      <c r="E50" s="101">
        <f>E48+1</f>
        <v>50</v>
      </c>
      <c r="F50" s="328"/>
      <c r="G50" s="96" t="s">
        <v>9</v>
      </c>
      <c r="H50" s="97"/>
      <c r="I50" s="19"/>
    </row>
    <row r="51" spans="1:9" x14ac:dyDescent="0.25">
      <c r="A51" s="266">
        <f>SUM(A12:A50)</f>
        <v>22287.15</v>
      </c>
      <c r="B51" s="266">
        <f>SUM(B12:B50)</f>
        <v>7103.4400000000005</v>
      </c>
      <c r="C51" s="91" t="s">
        <v>27</v>
      </c>
      <c r="D51" s="52" t="s">
        <v>64</v>
      </c>
      <c r="E51" s="90">
        <f>E48+3</f>
        <v>52</v>
      </c>
      <c r="F51" s="324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333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333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334" t="s">
        <v>30</v>
      </c>
      <c r="G54" s="18"/>
      <c r="H54" s="397" t="s">
        <v>142</v>
      </c>
      <c r="I54" s="19"/>
    </row>
    <row r="55" spans="1:9" x14ac:dyDescent="0.25">
      <c r="A55" s="42"/>
      <c r="B55" s="126"/>
      <c r="C55" s="43" t="s">
        <v>122</v>
      </c>
      <c r="D55" s="107">
        <v>43152</v>
      </c>
      <c r="E55" s="44"/>
      <c r="F55" s="335" t="s">
        <v>109</v>
      </c>
      <c r="G55" s="18"/>
      <c r="H55" s="398"/>
      <c r="I55" s="19"/>
    </row>
    <row r="56" spans="1:9" x14ac:dyDescent="0.25">
      <c r="A56" s="42"/>
      <c r="B56" s="126"/>
      <c r="C56" s="33" t="s">
        <v>123</v>
      </c>
      <c r="D56" s="49">
        <v>43244</v>
      </c>
      <c r="E56" s="46"/>
      <c r="F56" s="336" t="s">
        <v>109</v>
      </c>
      <c r="G56" s="18"/>
      <c r="H56" s="399" t="e">
        <f>DATEDIF(E3,D58,"m")&amp;"mois"&amp;DATEDIF(E3,D58,"md")&amp;"jours"</f>
        <v>#NUM!</v>
      </c>
      <c r="I56" s="19"/>
    </row>
    <row r="57" spans="1:9" ht="15.75" thickBot="1" x14ac:dyDescent="0.3">
      <c r="A57" s="42"/>
      <c r="B57" s="126"/>
      <c r="C57" s="33" t="s">
        <v>31</v>
      </c>
      <c r="D57" s="176"/>
      <c r="E57" s="46"/>
      <c r="F57" s="336"/>
      <c r="G57" s="18"/>
      <c r="H57" s="400"/>
      <c r="I57" s="19"/>
    </row>
    <row r="58" spans="1:9" x14ac:dyDescent="0.25">
      <c r="A58" s="42"/>
      <c r="B58" s="126"/>
      <c r="C58" s="47" t="s">
        <v>32</v>
      </c>
      <c r="D58" s="184"/>
      <c r="E58" s="14"/>
      <c r="F58" s="321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333"/>
      <c r="G59" s="18"/>
      <c r="H59" s="18"/>
      <c r="I59" s="19"/>
    </row>
    <row r="60" spans="1:9" x14ac:dyDescent="0.25">
      <c r="A60" s="48" t="s">
        <v>33</v>
      </c>
      <c r="B60" s="127"/>
      <c r="C60" s="371"/>
      <c r="D60" s="371"/>
      <c r="E60" s="371"/>
      <c r="F60" s="371"/>
      <c r="G60" s="371"/>
      <c r="H60" s="371"/>
      <c r="I60" s="372"/>
    </row>
    <row r="61" spans="1:9" x14ac:dyDescent="0.25">
      <c r="A61" s="34"/>
      <c r="B61" s="18"/>
      <c r="C61" s="373"/>
      <c r="D61" s="373"/>
      <c r="E61" s="373"/>
      <c r="F61" s="373"/>
      <c r="G61" s="373"/>
      <c r="H61" s="373"/>
      <c r="I61" s="374"/>
    </row>
    <row r="62" spans="1:9" x14ac:dyDescent="0.25">
      <c r="A62" s="34"/>
      <c r="B62" s="18"/>
      <c r="C62" s="373"/>
      <c r="D62" s="373"/>
      <c r="E62" s="373"/>
      <c r="F62" s="373"/>
      <c r="G62" s="373"/>
      <c r="H62" s="373"/>
      <c r="I62" s="374"/>
    </row>
    <row r="63" spans="1:9" x14ac:dyDescent="0.25">
      <c r="A63" s="34"/>
      <c r="B63" s="18"/>
      <c r="C63" s="373"/>
      <c r="D63" s="373"/>
      <c r="E63" s="373"/>
      <c r="F63" s="373"/>
      <c r="G63" s="373"/>
      <c r="H63" s="373"/>
      <c r="I63" s="374"/>
    </row>
    <row r="64" spans="1:9" x14ac:dyDescent="0.25">
      <c r="A64" s="34"/>
      <c r="B64" s="18"/>
      <c r="C64" s="373"/>
      <c r="D64" s="373"/>
      <c r="E64" s="373"/>
      <c r="F64" s="373"/>
      <c r="G64" s="373"/>
      <c r="H64" s="373"/>
      <c r="I64" s="374"/>
    </row>
    <row r="65" spans="1:9" x14ac:dyDescent="0.25">
      <c r="A65" s="44"/>
      <c r="B65" s="45"/>
      <c r="C65" s="375"/>
      <c r="D65" s="375"/>
      <c r="E65" s="375"/>
      <c r="F65" s="375"/>
      <c r="G65" s="375"/>
      <c r="H65" s="375"/>
      <c r="I65" s="376"/>
    </row>
    <row r="66" spans="1:9" x14ac:dyDescent="0.25">
      <c r="A66" s="17"/>
      <c r="B66" s="17"/>
      <c r="C66" s="17"/>
      <c r="D66" s="17"/>
      <c r="E66" s="17"/>
      <c r="F66" s="33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38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33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33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38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38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38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38"/>
      <c r="G73" s="36"/>
      <c r="H73" s="36"/>
      <c r="I73" s="36"/>
    </row>
    <row r="74" spans="1:9" s="157" customFormat="1" x14ac:dyDescent="0.25">
      <c r="F74" s="339"/>
    </row>
  </sheetData>
  <sheetProtection selectLockedCells="1" selectUnlockedCells="1"/>
  <dataConsolidate/>
  <mergeCells count="16">
    <mergeCell ref="A1:G1"/>
    <mergeCell ref="A2:B2"/>
    <mergeCell ref="E2:F2"/>
    <mergeCell ref="H2:I2"/>
    <mergeCell ref="A3:B3"/>
    <mergeCell ref="E3:F3"/>
    <mergeCell ref="H3:I3"/>
    <mergeCell ref="H54:H55"/>
    <mergeCell ref="H56:H57"/>
    <mergeCell ref="C60:I65"/>
    <mergeCell ref="E4:F4"/>
    <mergeCell ref="A5:B5"/>
    <mergeCell ref="A6:B6"/>
    <mergeCell ref="C6:H6"/>
    <mergeCell ref="C27:H27"/>
    <mergeCell ref="C46:H46"/>
  </mergeCells>
  <conditionalFormatting sqref="C52:G52">
    <cfRule type="expression" dxfId="820" priority="70">
      <formula>$F52="réalisé"</formula>
    </cfRule>
  </conditionalFormatting>
  <conditionalFormatting sqref="C48:C51 E48:H51 E29:H45 C8:H26">
    <cfRule type="expression" dxfId="819" priority="67">
      <formula>$G8="réalisé"</formula>
    </cfRule>
    <cfRule type="expression" dxfId="818" priority="68">
      <formula>$G8="en cours"</formula>
    </cfRule>
    <cfRule type="expression" dxfId="817" priority="69">
      <formula>$G8="non compris"</formula>
    </cfRule>
  </conditionalFormatting>
  <conditionalFormatting sqref="C29:C45">
    <cfRule type="expression" dxfId="816" priority="64">
      <formula>$G29="réalisé"</formula>
    </cfRule>
    <cfRule type="expression" dxfId="815" priority="65">
      <formula>$G29="en cours"</formula>
    </cfRule>
    <cfRule type="expression" dxfId="814" priority="66">
      <formula>$G29="non compris"</formula>
    </cfRule>
  </conditionalFormatting>
  <conditionalFormatting sqref="C55:F58">
    <cfRule type="expression" dxfId="813" priority="63">
      <formula>$F55="réalisé"</formula>
    </cfRule>
  </conditionalFormatting>
  <conditionalFormatting sqref="G9">
    <cfRule type="expression" dxfId="812" priority="62">
      <formula>$G$10="réalisé"</formula>
    </cfRule>
  </conditionalFormatting>
  <conditionalFormatting sqref="G10:G14">
    <cfRule type="expression" dxfId="811" priority="61">
      <formula>$G$15="réalisé"</formula>
    </cfRule>
  </conditionalFormatting>
  <conditionalFormatting sqref="G20:G21">
    <cfRule type="expression" dxfId="810" priority="60">
      <formula>$G$22="réalisé"</formula>
    </cfRule>
  </conditionalFormatting>
  <conditionalFormatting sqref="G30">
    <cfRule type="expression" dxfId="809" priority="59">
      <formula>$G$31="réalisé"</formula>
    </cfRule>
  </conditionalFormatting>
  <conditionalFormatting sqref="D29">
    <cfRule type="expression" dxfId="808" priority="56">
      <formula>$G29="réalisé"</formula>
    </cfRule>
    <cfRule type="expression" dxfId="807" priority="57">
      <formula>$G29="en cours"</formula>
    </cfRule>
    <cfRule type="expression" dxfId="806" priority="58">
      <formula>$G29="non compris"</formula>
    </cfRule>
  </conditionalFormatting>
  <conditionalFormatting sqref="D31">
    <cfRule type="expression" dxfId="805" priority="53">
      <formula>$G31="réalisé"</formula>
    </cfRule>
    <cfRule type="expression" dxfId="804" priority="54">
      <formula>$G31="en cours"</formula>
    </cfRule>
    <cfRule type="expression" dxfId="803" priority="55">
      <formula>$G31="non compris"</formula>
    </cfRule>
  </conditionalFormatting>
  <conditionalFormatting sqref="D33">
    <cfRule type="expression" dxfId="802" priority="50">
      <formula>$G33="réalisé"</formula>
    </cfRule>
    <cfRule type="expression" dxfId="801" priority="51">
      <formula>$G33="en cours"</formula>
    </cfRule>
    <cfRule type="expression" dxfId="800" priority="52">
      <formula>$G33="non compris"</formula>
    </cfRule>
  </conditionalFormatting>
  <conditionalFormatting sqref="D35">
    <cfRule type="expression" dxfId="799" priority="47">
      <formula>$G35="réalisé"</formula>
    </cfRule>
    <cfRule type="expression" dxfId="798" priority="48">
      <formula>$G35="en cours"</formula>
    </cfRule>
    <cfRule type="expression" dxfId="797" priority="49">
      <formula>$G35="non compris"</formula>
    </cfRule>
  </conditionalFormatting>
  <conditionalFormatting sqref="D37">
    <cfRule type="expression" dxfId="796" priority="44">
      <formula>$G37="réalisé"</formula>
    </cfRule>
    <cfRule type="expression" dxfId="795" priority="45">
      <formula>$G37="en cours"</formula>
    </cfRule>
    <cfRule type="expression" dxfId="794" priority="46">
      <formula>$G37="non compris"</formula>
    </cfRule>
  </conditionalFormatting>
  <conditionalFormatting sqref="D39">
    <cfRule type="expression" dxfId="793" priority="41">
      <formula>$G39="réalisé"</formula>
    </cfRule>
    <cfRule type="expression" dxfId="792" priority="42">
      <formula>$G39="en cours"</formula>
    </cfRule>
    <cfRule type="expression" dxfId="791" priority="43">
      <formula>$G39="non compris"</formula>
    </cfRule>
  </conditionalFormatting>
  <conditionalFormatting sqref="D41">
    <cfRule type="expression" dxfId="790" priority="38">
      <formula>$G41="réalisé"</formula>
    </cfRule>
    <cfRule type="expression" dxfId="789" priority="39">
      <formula>$G41="en cours"</formula>
    </cfRule>
    <cfRule type="expression" dxfId="788" priority="40">
      <formula>$G41="non compris"</formula>
    </cfRule>
  </conditionalFormatting>
  <conditionalFormatting sqref="D44:D45">
    <cfRule type="expression" dxfId="787" priority="35">
      <formula>$G44="réalisé"</formula>
    </cfRule>
    <cfRule type="expression" dxfId="786" priority="36">
      <formula>$G44="en cours"</formula>
    </cfRule>
    <cfRule type="expression" dxfId="785" priority="37">
      <formula>$G44="non compris"</formula>
    </cfRule>
  </conditionalFormatting>
  <conditionalFormatting sqref="D30">
    <cfRule type="expression" dxfId="784" priority="32">
      <formula>$G30="réalisé"</formula>
    </cfRule>
    <cfRule type="expression" dxfId="783" priority="33">
      <formula>$G30="en cours"</formula>
    </cfRule>
    <cfRule type="expression" dxfId="782" priority="34">
      <formula>$G30="non compris"</formula>
    </cfRule>
  </conditionalFormatting>
  <conditionalFormatting sqref="D32">
    <cfRule type="expression" dxfId="781" priority="29">
      <formula>$G32="réalisé"</formula>
    </cfRule>
    <cfRule type="expression" dxfId="780" priority="30">
      <formula>$G32="en cours"</formula>
    </cfRule>
    <cfRule type="expression" dxfId="779" priority="31">
      <formula>$G32="non compris"</formula>
    </cfRule>
  </conditionalFormatting>
  <conditionalFormatting sqref="D34">
    <cfRule type="expression" dxfId="778" priority="26">
      <formula>$G34="réalisé"</formula>
    </cfRule>
    <cfRule type="expression" dxfId="777" priority="27">
      <formula>$G34="en cours"</formula>
    </cfRule>
    <cfRule type="expression" dxfId="776" priority="28">
      <formula>$G34="non compris"</formula>
    </cfRule>
  </conditionalFormatting>
  <conditionalFormatting sqref="D36">
    <cfRule type="expression" dxfId="775" priority="23">
      <formula>$G36="réalisé"</formula>
    </cfRule>
    <cfRule type="expression" dxfId="774" priority="24">
      <formula>$G36="en cours"</formula>
    </cfRule>
    <cfRule type="expression" dxfId="773" priority="25">
      <formula>$G36="non compris"</formula>
    </cfRule>
  </conditionalFormatting>
  <conditionalFormatting sqref="D38">
    <cfRule type="expression" dxfId="772" priority="20">
      <formula>$G38="réalisé"</formula>
    </cfRule>
    <cfRule type="expression" dxfId="771" priority="21">
      <formula>$G38="en cours"</formula>
    </cfRule>
    <cfRule type="expression" dxfId="770" priority="22">
      <formula>$G38="non compris"</formula>
    </cfRule>
  </conditionalFormatting>
  <conditionalFormatting sqref="D40">
    <cfRule type="expression" dxfId="769" priority="17">
      <formula>$G40="réalisé"</formula>
    </cfRule>
    <cfRule type="expression" dxfId="768" priority="18">
      <formula>$G40="en cours"</formula>
    </cfRule>
    <cfRule type="expression" dxfId="767" priority="19">
      <formula>$G40="non compris"</formula>
    </cfRule>
  </conditionalFormatting>
  <conditionalFormatting sqref="D42:D43">
    <cfRule type="expression" dxfId="766" priority="14">
      <formula>$G42="réalisé"</formula>
    </cfRule>
    <cfRule type="expression" dxfId="765" priority="15">
      <formula>$G42="en cours"</formula>
    </cfRule>
    <cfRule type="expression" dxfId="764" priority="16">
      <formula>$G42="non compris"</formula>
    </cfRule>
  </conditionalFormatting>
  <conditionalFormatting sqref="D50">
    <cfRule type="expression" dxfId="763" priority="11">
      <formula>$G50="réalisé"</formula>
    </cfRule>
    <cfRule type="expression" dxfId="762" priority="12">
      <formula>$G50="en cours"</formula>
    </cfRule>
    <cfRule type="expression" dxfId="761" priority="13">
      <formula>$G50="non compris"</formula>
    </cfRule>
  </conditionalFormatting>
  <conditionalFormatting sqref="D49">
    <cfRule type="expression" dxfId="760" priority="8">
      <formula>$G49="réalisé"</formula>
    </cfRule>
    <cfRule type="expression" dxfId="759" priority="9">
      <formula>$G49="en cours"</formula>
    </cfRule>
    <cfRule type="expression" dxfId="758" priority="10">
      <formula>$G49="non compris"</formula>
    </cfRule>
  </conditionalFormatting>
  <conditionalFormatting sqref="D48">
    <cfRule type="expression" dxfId="757" priority="5">
      <formula>$G48="réalisé"</formula>
    </cfRule>
    <cfRule type="expression" dxfId="756" priority="6">
      <formula>$G48="en cours"</formula>
    </cfRule>
    <cfRule type="expression" dxfId="755" priority="7">
      <formula>$G48="non compris"</formula>
    </cfRule>
  </conditionalFormatting>
  <conditionalFormatting sqref="D51">
    <cfRule type="expression" dxfId="754" priority="2">
      <formula>$G51="réalisé"</formula>
    </cfRule>
    <cfRule type="expression" dxfId="753" priority="3">
      <formula>$G51="en cours"</formula>
    </cfRule>
    <cfRule type="expression" dxfId="752" priority="4">
      <formula>$G51="non compris"</formula>
    </cfRule>
  </conditionalFormatting>
  <conditionalFormatting sqref="D8:D26">
    <cfRule type="expression" dxfId="751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82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50"/>
    <pageSetUpPr fitToPage="1"/>
  </sheetPr>
  <dimension ref="A1:I74"/>
  <sheetViews>
    <sheetView zoomScaleNormal="100" workbookViewId="0">
      <selection activeCell="G9" sqref="G9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7" t="s">
        <v>0</v>
      </c>
      <c r="B1" s="378"/>
      <c r="C1" s="378"/>
      <c r="D1" s="378"/>
      <c r="E1" s="378"/>
      <c r="F1" s="378"/>
      <c r="G1" s="378"/>
      <c r="H1" s="1" t="s">
        <v>1</v>
      </c>
      <c r="I1" s="3">
        <f ca="1">INT(MOD(INT((LISTE!D1-2)/7)+0.6,52+5/28))+1</f>
        <v>41</v>
      </c>
    </row>
    <row r="2" spans="1:9" x14ac:dyDescent="0.25">
      <c r="A2" s="390" t="s">
        <v>2</v>
      </c>
      <c r="B2" s="391"/>
      <c r="C2" s="70" t="str">
        <f ca="1">MID(CELL("nomfichier",A1),FIND("]",CELL("nomfichier",A1),1)+1,30)</f>
        <v>SCHNEIDER-GOBERT</v>
      </c>
      <c r="D2" s="4" t="s">
        <v>72</v>
      </c>
      <c r="E2" s="379">
        <v>43316</v>
      </c>
      <c r="F2" s="379"/>
      <c r="G2" s="5"/>
      <c r="H2" s="380" t="s">
        <v>143</v>
      </c>
      <c r="I2" s="381"/>
    </row>
    <row r="3" spans="1:9" ht="15.75" x14ac:dyDescent="0.25">
      <c r="A3" s="392" t="s">
        <v>106</v>
      </c>
      <c r="B3" s="384"/>
      <c r="C3" s="6" t="s">
        <v>273</v>
      </c>
      <c r="D3" s="7" t="s">
        <v>3</v>
      </c>
      <c r="E3" s="382">
        <v>43356</v>
      </c>
      <c r="F3" s="383"/>
      <c r="G3" s="8"/>
      <c r="H3" s="384" t="str">
        <f ca="1">DATEDIF(E3,TODAY(),"m")&amp;"mois"&amp;-DATEDIF(E3,TODAY(),"md")&amp;"jours"</f>
        <v>0mois-29jours</v>
      </c>
      <c r="I3" s="385"/>
    </row>
    <row r="4" spans="1:9" ht="18.75" x14ac:dyDescent="0.25">
      <c r="A4" s="69" t="s">
        <v>117</v>
      </c>
      <c r="B4" s="129"/>
      <c r="C4" s="9"/>
      <c r="D4" s="10" t="s">
        <v>4</v>
      </c>
      <c r="E4" s="386">
        <f>E3+60</f>
        <v>43416</v>
      </c>
      <c r="F4" s="386"/>
      <c r="G4" s="11"/>
      <c r="H4" s="12"/>
      <c r="I4" s="13"/>
    </row>
    <row r="5" spans="1:9" x14ac:dyDescent="0.25">
      <c r="A5" s="393" t="s">
        <v>76</v>
      </c>
      <c r="B5" s="394"/>
      <c r="C5" s="15"/>
      <c r="D5" s="16"/>
      <c r="E5" s="15"/>
      <c r="F5" s="15"/>
      <c r="G5" s="17"/>
      <c r="H5" s="18"/>
      <c r="I5" s="19"/>
    </row>
    <row r="6" spans="1:9" ht="18.75" x14ac:dyDescent="0.3">
      <c r="A6" s="395" t="s">
        <v>75</v>
      </c>
      <c r="B6" s="396"/>
      <c r="C6" s="387" t="s">
        <v>145</v>
      </c>
      <c r="D6" s="388"/>
      <c r="E6" s="388"/>
      <c r="F6" s="388"/>
      <c r="G6" s="388"/>
      <c r="H6" s="389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22"/>
      <c r="B8" s="200"/>
      <c r="C8" s="28" t="s">
        <v>124</v>
      </c>
      <c r="D8" s="52" t="s">
        <v>208</v>
      </c>
      <c r="E8" s="180">
        <v>41</v>
      </c>
      <c r="F8" s="25"/>
      <c r="G8" s="26" t="s">
        <v>36</v>
      </c>
      <c r="H8" s="27"/>
      <c r="I8" s="19"/>
    </row>
    <row r="9" spans="1:9" x14ac:dyDescent="0.25">
      <c r="A9" s="122"/>
      <c r="B9" s="130"/>
      <c r="C9" s="28" t="s">
        <v>131</v>
      </c>
      <c r="D9" s="53" t="str">
        <f>D8</f>
        <v>DANACI</v>
      </c>
      <c r="E9" s="181">
        <f>E8+1</f>
        <v>42</v>
      </c>
      <c r="F9" s="29"/>
      <c r="G9" s="30" t="s">
        <v>35</v>
      </c>
      <c r="H9" s="27"/>
      <c r="I9" s="19"/>
    </row>
    <row r="10" spans="1:9" ht="15" customHeight="1" x14ac:dyDescent="0.25">
      <c r="A10" s="131"/>
      <c r="B10" s="182"/>
      <c r="C10" s="28" t="s">
        <v>132</v>
      </c>
      <c r="D10" s="52" t="str">
        <f>D9</f>
        <v>DANACI</v>
      </c>
      <c r="E10" s="180">
        <f>E9</f>
        <v>42</v>
      </c>
      <c r="F10" s="31"/>
      <c r="G10" s="30" t="s">
        <v>9</v>
      </c>
      <c r="H10" s="27"/>
      <c r="I10" s="19"/>
    </row>
    <row r="11" spans="1:9" ht="15" customHeight="1" x14ac:dyDescent="0.25">
      <c r="A11" s="131"/>
      <c r="B11" s="132"/>
      <c r="C11" s="28" t="s">
        <v>133</v>
      </c>
      <c r="D11" s="54" t="str">
        <f>D8</f>
        <v>DANACI</v>
      </c>
      <c r="E11" s="180">
        <f>E10+1</f>
        <v>43</v>
      </c>
      <c r="F11" s="31"/>
      <c r="G11" s="30" t="s">
        <v>9</v>
      </c>
      <c r="H11" s="27"/>
      <c r="I11" s="19"/>
    </row>
    <row r="12" spans="1:9" ht="15" customHeight="1" x14ac:dyDescent="0.25">
      <c r="A12" s="144"/>
      <c r="B12" s="143">
        <f>A12</f>
        <v>0</v>
      </c>
      <c r="C12" s="28" t="s">
        <v>134</v>
      </c>
      <c r="D12" s="54" t="str">
        <f t="shared" ref="D12:D14" si="0">D9</f>
        <v>DANACI</v>
      </c>
      <c r="E12" s="180">
        <f>E11+2</f>
        <v>45</v>
      </c>
      <c r="F12" s="31"/>
      <c r="G12" s="30" t="s">
        <v>9</v>
      </c>
      <c r="H12" s="27"/>
      <c r="I12" s="19"/>
    </row>
    <row r="13" spans="1:9" ht="15" customHeight="1" x14ac:dyDescent="0.25">
      <c r="A13" s="131"/>
      <c r="B13" s="132"/>
      <c r="C13" s="28" t="s">
        <v>135</v>
      </c>
      <c r="D13" s="54" t="str">
        <f t="shared" si="0"/>
        <v>DANACI</v>
      </c>
      <c r="E13" s="180">
        <f>E12+1</f>
        <v>46</v>
      </c>
      <c r="F13" s="31"/>
      <c r="G13" s="30" t="s">
        <v>9</v>
      </c>
      <c r="H13" s="27"/>
      <c r="I13" s="19"/>
    </row>
    <row r="14" spans="1:9" ht="15" customHeight="1" x14ac:dyDescent="0.25">
      <c r="A14" s="131"/>
      <c r="B14" s="132"/>
      <c r="C14" s="28" t="s">
        <v>136</v>
      </c>
      <c r="D14" s="54" t="str">
        <f t="shared" si="0"/>
        <v>DANACI</v>
      </c>
      <c r="E14" s="180">
        <f>E13</f>
        <v>46</v>
      </c>
      <c r="F14" s="31"/>
      <c r="G14" s="30" t="s">
        <v>9</v>
      </c>
      <c r="H14" s="27"/>
      <c r="I14" s="19"/>
    </row>
    <row r="15" spans="1:9" x14ac:dyDescent="0.25">
      <c r="A15" s="131"/>
      <c r="B15" s="132"/>
      <c r="C15" s="28" t="s">
        <v>62</v>
      </c>
      <c r="D15" s="53" t="s">
        <v>64</v>
      </c>
      <c r="E15" s="24">
        <f>E10+1</f>
        <v>43</v>
      </c>
      <c r="F15" s="29"/>
      <c r="G15" s="30" t="s">
        <v>70</v>
      </c>
      <c r="H15" s="27"/>
      <c r="I15" s="19"/>
    </row>
    <row r="16" spans="1:9" x14ac:dyDescent="0.25">
      <c r="A16" s="131"/>
      <c r="B16" s="132"/>
      <c r="C16" s="28" t="s">
        <v>10</v>
      </c>
      <c r="D16" s="52" t="s">
        <v>64</v>
      </c>
      <c r="E16" s="24">
        <f>E15+1</f>
        <v>44</v>
      </c>
      <c r="F16" s="29"/>
      <c r="G16" s="30" t="s">
        <v>70</v>
      </c>
      <c r="H16" s="27"/>
      <c r="I16" s="19"/>
    </row>
    <row r="17" spans="1:9" x14ac:dyDescent="0.25">
      <c r="A17" s="131"/>
      <c r="B17" s="132"/>
      <c r="C17" s="28" t="s">
        <v>11</v>
      </c>
      <c r="D17" s="53" t="s">
        <v>208</v>
      </c>
      <c r="E17" s="24">
        <f>E13+1</f>
        <v>47</v>
      </c>
      <c r="F17" s="29"/>
      <c r="G17" s="30" t="s">
        <v>9</v>
      </c>
      <c r="H17" s="27"/>
      <c r="I17" s="19"/>
    </row>
    <row r="18" spans="1:9" x14ac:dyDescent="0.25">
      <c r="A18" s="144"/>
      <c r="B18" s="143">
        <f>A18</f>
        <v>0</v>
      </c>
      <c r="C18" s="28" t="s">
        <v>12</v>
      </c>
      <c r="D18" s="52" t="s">
        <v>41</v>
      </c>
      <c r="E18" s="180">
        <f>IF(E13="","",MOD(E17+1,52))</f>
        <v>48</v>
      </c>
      <c r="F18" s="29"/>
      <c r="G18" s="30" t="s">
        <v>9</v>
      </c>
      <c r="H18" s="27"/>
      <c r="I18" s="19"/>
    </row>
    <row r="19" spans="1:9" x14ac:dyDescent="0.25">
      <c r="A19" s="131"/>
      <c r="B19" s="132"/>
      <c r="C19" s="28" t="s">
        <v>73</v>
      </c>
      <c r="D19" s="53" t="str">
        <f>D10</f>
        <v>DANACI</v>
      </c>
      <c r="E19" s="24">
        <f>IF(E18="","",MOD(E18+1,52))</f>
        <v>49</v>
      </c>
      <c r="F19" s="29"/>
      <c r="G19" s="30" t="s">
        <v>9</v>
      </c>
      <c r="H19" s="27"/>
      <c r="I19" s="19"/>
    </row>
    <row r="20" spans="1:9" x14ac:dyDescent="0.25">
      <c r="A20" s="149"/>
      <c r="B20" s="143">
        <f>A20</f>
        <v>0</v>
      </c>
      <c r="C20" s="28" t="s">
        <v>59</v>
      </c>
      <c r="D20" s="52" t="s">
        <v>41</v>
      </c>
      <c r="E20" s="24">
        <f>IF(E19="","",MOD(E19+1,52))</f>
        <v>50</v>
      </c>
      <c r="F20" s="29"/>
      <c r="G20" s="30" t="s">
        <v>9</v>
      </c>
      <c r="H20" s="27"/>
      <c r="I20" s="19"/>
    </row>
    <row r="21" spans="1:9" x14ac:dyDescent="0.25">
      <c r="A21" s="149"/>
      <c r="B21" s="143">
        <f>A21</f>
        <v>0</v>
      </c>
      <c r="C21" s="28" t="s">
        <v>60</v>
      </c>
      <c r="D21" s="54" t="s">
        <v>44</v>
      </c>
      <c r="E21" s="24">
        <f>E20</f>
        <v>50</v>
      </c>
      <c r="F21" s="29"/>
      <c r="G21" s="30" t="s">
        <v>9</v>
      </c>
      <c r="H21" s="50"/>
      <c r="I21" s="19"/>
    </row>
    <row r="22" spans="1:9" x14ac:dyDescent="0.25">
      <c r="A22" s="131"/>
      <c r="B22" s="132"/>
      <c r="C22" s="167" t="s">
        <v>13</v>
      </c>
      <c r="D22" s="168" t="s">
        <v>44</v>
      </c>
      <c r="E22" s="169">
        <f>E20</f>
        <v>50</v>
      </c>
      <c r="F22" s="170"/>
      <c r="G22" s="171" t="s">
        <v>9</v>
      </c>
      <c r="H22" s="172"/>
      <c r="I22" s="19"/>
    </row>
    <row r="23" spans="1:9" x14ac:dyDescent="0.25">
      <c r="A23" s="144"/>
      <c r="B23" s="143">
        <f>A23</f>
        <v>0</v>
      </c>
      <c r="C23" s="32" t="s">
        <v>138</v>
      </c>
      <c r="D23" s="52" t="s">
        <v>45</v>
      </c>
      <c r="E23" s="24">
        <v>2</v>
      </c>
      <c r="F23" s="29"/>
      <c r="G23" s="30" t="s">
        <v>9</v>
      </c>
      <c r="H23" s="27"/>
      <c r="I23" s="19"/>
    </row>
    <row r="24" spans="1:9" x14ac:dyDescent="0.25">
      <c r="A24" s="131"/>
      <c r="B24" s="132"/>
      <c r="C24" s="28" t="s">
        <v>14</v>
      </c>
      <c r="D24" s="53" t="str">
        <f>D17</f>
        <v>DANACI</v>
      </c>
      <c r="E24" s="24">
        <v>50</v>
      </c>
      <c r="F24" s="29"/>
      <c r="G24" s="30" t="s">
        <v>9</v>
      </c>
      <c r="H24" s="27"/>
      <c r="I24" s="19"/>
    </row>
    <row r="25" spans="1:9" x14ac:dyDescent="0.25">
      <c r="A25" s="144"/>
      <c r="B25" s="143">
        <f>A25</f>
        <v>0</v>
      </c>
      <c r="C25" s="183" t="s">
        <v>137</v>
      </c>
      <c r="D25" s="53" t="s">
        <v>55</v>
      </c>
      <c r="E25" s="24">
        <f>E23</f>
        <v>2</v>
      </c>
      <c r="F25" s="29"/>
      <c r="G25" s="72" t="s">
        <v>9</v>
      </c>
      <c r="H25" s="27"/>
      <c r="I25" s="19"/>
    </row>
    <row r="26" spans="1:9" x14ac:dyDescent="0.25">
      <c r="A26" s="131"/>
      <c r="B26" s="132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145"/>
      <c r="B27" s="146"/>
      <c r="C27" s="387" t="s">
        <v>144</v>
      </c>
      <c r="D27" s="388"/>
      <c r="E27" s="388"/>
      <c r="F27" s="388"/>
      <c r="G27" s="388"/>
      <c r="H27" s="389"/>
      <c r="I27" s="19"/>
    </row>
    <row r="28" spans="1:9" ht="15.75" thickBot="1" x14ac:dyDescent="0.3">
      <c r="A28" s="131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43"/>
      <c r="B29" s="143">
        <f>A29</f>
        <v>0</v>
      </c>
      <c r="C29" s="78" t="s">
        <v>66</v>
      </c>
      <c r="D29" s="52" t="s">
        <v>90</v>
      </c>
      <c r="E29" s="79">
        <v>3</v>
      </c>
      <c r="F29" s="25"/>
      <c r="G29" s="26" t="s">
        <v>9</v>
      </c>
      <c r="H29" s="27"/>
      <c r="I29" s="19"/>
    </row>
    <row r="30" spans="1:9" x14ac:dyDescent="0.25">
      <c r="A30" s="144"/>
      <c r="B30" s="143">
        <f>A30</f>
        <v>0</v>
      </c>
      <c r="C30" s="28" t="s">
        <v>67</v>
      </c>
      <c r="D30" s="53" t="s">
        <v>47</v>
      </c>
      <c r="E30" s="24">
        <f>IF(E29="","",MOD(E29+1,52))</f>
        <v>4</v>
      </c>
      <c r="F30" s="29"/>
      <c r="G30" s="30"/>
      <c r="H30" s="27"/>
      <c r="I30" s="19"/>
    </row>
    <row r="31" spans="1:9" x14ac:dyDescent="0.25">
      <c r="A31" s="131"/>
      <c r="B31" s="132"/>
      <c r="C31" s="62" t="s">
        <v>16</v>
      </c>
      <c r="D31" s="52" t="str">
        <f>D29</f>
        <v>ELECTRO HECKER</v>
      </c>
      <c r="E31" s="24">
        <f>IF(E30="","",MOD(E30+2,52))</f>
        <v>6</v>
      </c>
      <c r="F31" s="29"/>
      <c r="G31" s="30"/>
      <c r="H31" s="27"/>
      <c r="I31" s="19"/>
    </row>
    <row r="32" spans="1:9" x14ac:dyDescent="0.25">
      <c r="A32" s="144"/>
      <c r="B32" s="143">
        <f>A32</f>
        <v>0</v>
      </c>
      <c r="C32" s="80" t="s">
        <v>17</v>
      </c>
      <c r="D32" s="53" t="s">
        <v>51</v>
      </c>
      <c r="E32" s="24">
        <f>IF(E30="","",MOD(E30+2,52))</f>
        <v>6</v>
      </c>
      <c r="F32" s="29"/>
      <c r="G32" s="30"/>
      <c r="H32" s="27"/>
      <c r="I32" s="19"/>
    </row>
    <row r="33" spans="1:9" x14ac:dyDescent="0.25">
      <c r="A33" s="143"/>
      <c r="B33" s="143"/>
      <c r="C33" s="62" t="s">
        <v>140</v>
      </c>
      <c r="D33" s="52" t="s">
        <v>167</v>
      </c>
      <c r="E33" s="24">
        <f>IF(E32="","",MOD(E32+1,52))</f>
        <v>7</v>
      </c>
      <c r="F33" s="29"/>
      <c r="G33" s="30"/>
      <c r="H33" s="27"/>
      <c r="I33" s="19"/>
    </row>
    <row r="34" spans="1:9" x14ac:dyDescent="0.25">
      <c r="A34" s="144"/>
      <c r="B34" s="143">
        <f>A34</f>
        <v>0</v>
      </c>
      <c r="C34" s="28" t="s">
        <v>141</v>
      </c>
      <c r="D34" s="53" t="s">
        <v>167</v>
      </c>
      <c r="E34" s="24">
        <f>IF(E32="","",MOD(E32+1,52))</f>
        <v>7</v>
      </c>
      <c r="F34" s="29"/>
      <c r="G34" s="30"/>
      <c r="H34" s="27"/>
      <c r="I34" s="19"/>
    </row>
    <row r="35" spans="1:9" x14ac:dyDescent="0.25">
      <c r="A35" s="131"/>
      <c r="B35" s="13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143"/>
      <c r="B36" s="143">
        <f>A36</f>
        <v>0</v>
      </c>
      <c r="C36" s="28" t="s">
        <v>19</v>
      </c>
      <c r="D36" s="53" t="s">
        <v>206</v>
      </c>
      <c r="E36" s="24">
        <f>IF(E34="","",MOD(E34+1,52))</f>
        <v>8</v>
      </c>
      <c r="F36" s="29"/>
      <c r="G36" s="30"/>
      <c r="H36" s="27"/>
      <c r="I36" s="19"/>
    </row>
    <row r="37" spans="1:9" x14ac:dyDescent="0.25">
      <c r="A37" s="131"/>
      <c r="B37" s="132"/>
      <c r="C37" s="28" t="s">
        <v>20</v>
      </c>
      <c r="D37" s="52" t="str">
        <f>D30</f>
        <v>SOARES</v>
      </c>
      <c r="E37" s="24">
        <f>IF(E36="","",MOD(E36+1,52))</f>
        <v>9</v>
      </c>
      <c r="F37" s="29"/>
      <c r="G37" s="30"/>
      <c r="H37" s="27"/>
      <c r="I37" s="19"/>
    </row>
    <row r="38" spans="1:9" x14ac:dyDescent="0.25">
      <c r="A38" s="131"/>
      <c r="B38" s="132"/>
      <c r="C38" s="28" t="s">
        <v>21</v>
      </c>
      <c r="D38" s="53" t="str">
        <f>D29</f>
        <v>ELECTRO HECKER</v>
      </c>
      <c r="E38" s="24">
        <f>IF(E37="","",MOD(E37+1,52))</f>
        <v>10</v>
      </c>
      <c r="F38" s="29"/>
      <c r="G38" s="30" t="s">
        <v>9</v>
      </c>
      <c r="H38" s="27"/>
      <c r="I38" s="19"/>
    </row>
    <row r="39" spans="1:9" x14ac:dyDescent="0.25">
      <c r="A39" s="131"/>
      <c r="B39" s="132"/>
      <c r="C39" s="28" t="s">
        <v>22</v>
      </c>
      <c r="D39" s="52" t="str">
        <f>D32</f>
        <v>EKOTHERM</v>
      </c>
      <c r="E39" s="24">
        <f>IF(E37="","",MOD(E37+1,52))</f>
        <v>10</v>
      </c>
      <c r="F39" s="29"/>
      <c r="G39" s="30"/>
      <c r="H39" s="27"/>
      <c r="I39" s="19"/>
    </row>
    <row r="40" spans="1:9" x14ac:dyDescent="0.25">
      <c r="A40" s="131"/>
      <c r="B40" s="132"/>
      <c r="C40" s="28" t="s">
        <v>23</v>
      </c>
      <c r="D40" s="53" t="s">
        <v>64</v>
      </c>
      <c r="E40" s="24">
        <f>E36+4</f>
        <v>12</v>
      </c>
      <c r="F40" s="29"/>
      <c r="G40" s="30" t="s">
        <v>70</v>
      </c>
      <c r="H40" s="27"/>
      <c r="I40" s="19"/>
    </row>
    <row r="41" spans="1:9" x14ac:dyDescent="0.25">
      <c r="A41" s="131"/>
      <c r="B41" s="132"/>
      <c r="C41" s="28" t="s">
        <v>24</v>
      </c>
      <c r="D41" s="52" t="s">
        <v>64</v>
      </c>
      <c r="E41" s="24">
        <f>E39+1</f>
        <v>11</v>
      </c>
      <c r="F41" s="29"/>
      <c r="G41" s="30" t="s">
        <v>70</v>
      </c>
      <c r="H41" s="27"/>
      <c r="I41" s="19"/>
    </row>
    <row r="42" spans="1:9" x14ac:dyDescent="0.25">
      <c r="A42" s="131"/>
      <c r="B42" s="132"/>
      <c r="C42" s="28" t="s">
        <v>25</v>
      </c>
      <c r="D42" s="53" t="str">
        <f>D34</f>
        <v>OTEC</v>
      </c>
      <c r="E42" s="24">
        <f>IF(E40="","",MOD(E40+2,52))</f>
        <v>14</v>
      </c>
      <c r="F42" s="29"/>
      <c r="G42" s="30"/>
      <c r="H42" s="27"/>
      <c r="I42" s="19"/>
    </row>
    <row r="43" spans="1:9" x14ac:dyDescent="0.25">
      <c r="A43" s="143"/>
      <c r="B43" s="143">
        <f>A43</f>
        <v>0</v>
      </c>
      <c r="C43" s="81" t="s">
        <v>147</v>
      </c>
      <c r="D43" s="52" t="s">
        <v>64</v>
      </c>
      <c r="E43" s="82">
        <f>E44</f>
        <v>14</v>
      </c>
      <c r="F43" s="83"/>
      <c r="G43" s="72" t="s">
        <v>70</v>
      </c>
      <c r="H43" s="27"/>
      <c r="I43" s="19"/>
    </row>
    <row r="44" spans="1:9" x14ac:dyDescent="0.25">
      <c r="A44" s="144"/>
      <c r="B44" s="143">
        <f>A44</f>
        <v>0</v>
      </c>
      <c r="C44" s="81" t="s">
        <v>139</v>
      </c>
      <c r="D44" s="193" t="s">
        <v>196</v>
      </c>
      <c r="E44" s="82">
        <f>IF(E40="","",MOD(E40+2,52))</f>
        <v>14</v>
      </c>
      <c r="F44" s="83"/>
      <c r="G44" s="72"/>
      <c r="H44" s="194"/>
      <c r="I44" s="19"/>
    </row>
    <row r="45" spans="1:9" x14ac:dyDescent="0.25">
      <c r="A45" s="131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145"/>
      <c r="B46" s="146"/>
      <c r="C46" s="387" t="s">
        <v>146</v>
      </c>
      <c r="D46" s="388"/>
      <c r="E46" s="388"/>
      <c r="F46" s="388"/>
      <c r="G46" s="388"/>
      <c r="H46" s="389"/>
      <c r="I46" s="19"/>
    </row>
    <row r="47" spans="1:9" ht="15.75" thickBot="1" x14ac:dyDescent="0.3">
      <c r="A47" s="131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144"/>
      <c r="B48" s="143">
        <f>A48</f>
        <v>0</v>
      </c>
      <c r="C48" s="88" t="s">
        <v>26</v>
      </c>
      <c r="D48" s="52" t="s">
        <v>276</v>
      </c>
      <c r="E48" s="89">
        <f>E32+1</f>
        <v>7</v>
      </c>
      <c r="F48" s="25"/>
      <c r="G48" s="26"/>
      <c r="H48" s="27"/>
      <c r="I48" s="19"/>
    </row>
    <row r="49" spans="1:9" x14ac:dyDescent="0.25">
      <c r="A49" s="133"/>
      <c r="B49" s="173"/>
      <c r="C49" s="102" t="s">
        <v>69</v>
      </c>
      <c r="D49" s="103" t="s">
        <v>64</v>
      </c>
      <c r="E49" s="104">
        <f>E48</f>
        <v>7</v>
      </c>
      <c r="F49" s="105"/>
      <c r="G49" s="106" t="s">
        <v>70</v>
      </c>
      <c r="H49" s="27"/>
      <c r="I49" s="19"/>
    </row>
    <row r="50" spans="1:9" x14ac:dyDescent="0.25">
      <c r="A50" s="133"/>
      <c r="B50" s="173"/>
      <c r="C50" s="92" t="s">
        <v>61</v>
      </c>
      <c r="D50" s="99" t="s">
        <v>68</v>
      </c>
      <c r="E50" s="101">
        <f>E48+1</f>
        <v>8</v>
      </c>
      <c r="F50" s="95"/>
      <c r="G50" s="96" t="s">
        <v>9</v>
      </c>
      <c r="H50" s="97"/>
      <c r="I50" s="19"/>
    </row>
    <row r="51" spans="1:9" x14ac:dyDescent="0.25">
      <c r="A51" s="133"/>
      <c r="B51" s="173"/>
      <c r="C51" s="91" t="s">
        <v>27</v>
      </c>
      <c r="D51" s="52" t="str">
        <f>D48</f>
        <v>Tasteper</v>
      </c>
      <c r="E51" s="90">
        <f>E48+3</f>
        <v>10</v>
      </c>
      <c r="F51" s="29"/>
      <c r="G51" s="72"/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7" t="s">
        <v>142</v>
      </c>
      <c r="I54" s="19"/>
    </row>
    <row r="55" spans="1:9" x14ac:dyDescent="0.25">
      <c r="A55" s="42"/>
      <c r="B55" s="126"/>
      <c r="C55" s="43" t="s">
        <v>122</v>
      </c>
      <c r="D55" s="107"/>
      <c r="E55" s="44"/>
      <c r="F55" s="45"/>
      <c r="G55" s="18"/>
      <c r="H55" s="398"/>
      <c r="I55" s="19"/>
    </row>
    <row r="56" spans="1:9" x14ac:dyDescent="0.25">
      <c r="A56" s="42"/>
      <c r="B56" s="126"/>
      <c r="C56" s="33" t="s">
        <v>123</v>
      </c>
      <c r="D56" s="49">
        <v>43350</v>
      </c>
      <c r="E56" s="46"/>
      <c r="F56" s="2" t="s">
        <v>109</v>
      </c>
      <c r="G56" s="18"/>
      <c r="H56" s="399" t="e">
        <f>DATEDIF(E3,D58,"m")&amp;"mois"&amp;DATEDIF(E3,D58,"md")&amp;"jours"</f>
        <v>#NUM!</v>
      </c>
      <c r="I56" s="19"/>
    </row>
    <row r="57" spans="1:9" ht="15.75" thickBot="1" x14ac:dyDescent="0.3">
      <c r="A57" s="42"/>
      <c r="B57" s="126"/>
      <c r="C57" s="33" t="s">
        <v>31</v>
      </c>
      <c r="D57" s="176"/>
      <c r="E57" s="46"/>
      <c r="F57" s="2"/>
      <c r="G57" s="18"/>
      <c r="H57" s="400"/>
      <c r="I57" s="19"/>
    </row>
    <row r="58" spans="1:9" x14ac:dyDescent="0.25">
      <c r="A58" s="42"/>
      <c r="B58" s="126"/>
      <c r="C58" s="47" t="s">
        <v>32</v>
      </c>
      <c r="D58" s="184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1"/>
      <c r="D60" s="371"/>
      <c r="E60" s="371"/>
      <c r="F60" s="371"/>
      <c r="G60" s="371"/>
      <c r="H60" s="371"/>
      <c r="I60" s="372"/>
    </row>
    <row r="61" spans="1:9" x14ac:dyDescent="0.25">
      <c r="A61" s="34"/>
      <c r="B61" s="18"/>
      <c r="C61" s="373"/>
      <c r="D61" s="373"/>
      <c r="E61" s="373"/>
      <c r="F61" s="373"/>
      <c r="G61" s="373"/>
      <c r="H61" s="373"/>
      <c r="I61" s="374"/>
    </row>
    <row r="62" spans="1:9" x14ac:dyDescent="0.25">
      <c r="A62" s="34"/>
      <c r="B62" s="18"/>
      <c r="C62" s="373"/>
      <c r="D62" s="373"/>
      <c r="E62" s="373"/>
      <c r="F62" s="373"/>
      <c r="G62" s="373"/>
      <c r="H62" s="373"/>
      <c r="I62" s="374"/>
    </row>
    <row r="63" spans="1:9" x14ac:dyDescent="0.25">
      <c r="A63" s="34"/>
      <c r="B63" s="18"/>
      <c r="C63" s="373"/>
      <c r="D63" s="373"/>
      <c r="E63" s="373"/>
      <c r="F63" s="373"/>
      <c r="G63" s="373"/>
      <c r="H63" s="373"/>
      <c r="I63" s="374"/>
    </row>
    <row r="64" spans="1:9" x14ac:dyDescent="0.25">
      <c r="A64" s="34"/>
      <c r="B64" s="18"/>
      <c r="C64" s="373"/>
      <c r="D64" s="373"/>
      <c r="E64" s="373"/>
      <c r="F64" s="373"/>
      <c r="G64" s="373"/>
      <c r="H64" s="373"/>
      <c r="I64" s="374"/>
    </row>
    <row r="65" spans="1:9" x14ac:dyDescent="0.25">
      <c r="A65" s="44"/>
      <c r="B65" s="45"/>
      <c r="C65" s="375"/>
      <c r="D65" s="375"/>
      <c r="E65" s="375"/>
      <c r="F65" s="375"/>
      <c r="G65" s="375"/>
      <c r="H65" s="375"/>
      <c r="I65" s="376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H54:H55"/>
    <mergeCell ref="H56:H57"/>
    <mergeCell ref="C60:I65"/>
    <mergeCell ref="E4:F4"/>
    <mergeCell ref="A5:B5"/>
    <mergeCell ref="A6:B6"/>
    <mergeCell ref="C6:H6"/>
    <mergeCell ref="C27:H27"/>
    <mergeCell ref="C46:H46"/>
    <mergeCell ref="A1:G1"/>
    <mergeCell ref="A2:B2"/>
    <mergeCell ref="E2:F2"/>
    <mergeCell ref="H2:I2"/>
    <mergeCell ref="A3:B3"/>
    <mergeCell ref="E3:F3"/>
    <mergeCell ref="H3:I3"/>
  </mergeCells>
  <conditionalFormatting sqref="C52:G52">
    <cfRule type="expression" dxfId="708" priority="70">
      <formula>$F52="réalisé"</formula>
    </cfRule>
  </conditionalFormatting>
  <conditionalFormatting sqref="C48:C51 E48:H51 E29:H45 C8:H26">
    <cfRule type="expression" dxfId="707" priority="67">
      <formula>$G8="réalisé"</formula>
    </cfRule>
    <cfRule type="expression" dxfId="706" priority="68">
      <formula>$G8="en cours"</formula>
    </cfRule>
    <cfRule type="expression" dxfId="705" priority="69">
      <formula>$G8="non compris"</formula>
    </cfRule>
  </conditionalFormatting>
  <conditionalFormatting sqref="C29:C45">
    <cfRule type="expression" dxfId="704" priority="64">
      <formula>$G29="réalisé"</formula>
    </cfRule>
    <cfRule type="expression" dxfId="703" priority="65">
      <formula>$G29="en cours"</formula>
    </cfRule>
    <cfRule type="expression" dxfId="702" priority="66">
      <formula>$G29="non compris"</formula>
    </cfRule>
  </conditionalFormatting>
  <conditionalFormatting sqref="C55:F58">
    <cfRule type="expression" dxfId="701" priority="63">
      <formula>$F55="réalisé"</formula>
    </cfRule>
  </conditionalFormatting>
  <conditionalFormatting sqref="G9">
    <cfRule type="expression" dxfId="700" priority="62">
      <formula>$G$10="réalisé"</formula>
    </cfRule>
  </conditionalFormatting>
  <conditionalFormatting sqref="G10:G14">
    <cfRule type="expression" dxfId="699" priority="61">
      <formula>$G$15="réalisé"</formula>
    </cfRule>
  </conditionalFormatting>
  <conditionalFormatting sqref="G20:G21">
    <cfRule type="expression" dxfId="698" priority="60">
      <formula>$G$22="réalisé"</formula>
    </cfRule>
  </conditionalFormatting>
  <conditionalFormatting sqref="G30">
    <cfRule type="expression" dxfId="697" priority="59">
      <formula>$G$31="réalisé"</formula>
    </cfRule>
  </conditionalFormatting>
  <conditionalFormatting sqref="D29">
    <cfRule type="expression" dxfId="696" priority="56">
      <formula>$G29="réalisé"</formula>
    </cfRule>
    <cfRule type="expression" dxfId="695" priority="57">
      <formula>$G29="en cours"</formula>
    </cfRule>
    <cfRule type="expression" dxfId="694" priority="58">
      <formula>$G29="non compris"</formula>
    </cfRule>
  </conditionalFormatting>
  <conditionalFormatting sqref="D31">
    <cfRule type="expression" dxfId="693" priority="53">
      <formula>$G31="réalisé"</formula>
    </cfRule>
    <cfRule type="expression" dxfId="692" priority="54">
      <formula>$G31="en cours"</formula>
    </cfRule>
    <cfRule type="expression" dxfId="691" priority="55">
      <formula>$G31="non compris"</formula>
    </cfRule>
  </conditionalFormatting>
  <conditionalFormatting sqref="D33">
    <cfRule type="expression" dxfId="690" priority="50">
      <formula>$G33="réalisé"</formula>
    </cfRule>
    <cfRule type="expression" dxfId="689" priority="51">
      <formula>$G33="en cours"</formula>
    </cfRule>
    <cfRule type="expression" dxfId="688" priority="52">
      <formula>$G33="non compris"</formula>
    </cfRule>
  </conditionalFormatting>
  <conditionalFormatting sqref="D35">
    <cfRule type="expression" dxfId="687" priority="47">
      <formula>$G35="réalisé"</formula>
    </cfRule>
    <cfRule type="expression" dxfId="686" priority="48">
      <formula>$G35="en cours"</formula>
    </cfRule>
    <cfRule type="expression" dxfId="685" priority="49">
      <formula>$G35="non compris"</formula>
    </cfRule>
  </conditionalFormatting>
  <conditionalFormatting sqref="D37">
    <cfRule type="expression" dxfId="684" priority="44">
      <formula>$G37="réalisé"</formula>
    </cfRule>
    <cfRule type="expression" dxfId="683" priority="45">
      <formula>$G37="en cours"</formula>
    </cfRule>
    <cfRule type="expression" dxfId="682" priority="46">
      <formula>$G37="non compris"</formula>
    </cfRule>
  </conditionalFormatting>
  <conditionalFormatting sqref="D39">
    <cfRule type="expression" dxfId="681" priority="41">
      <formula>$G39="réalisé"</formula>
    </cfRule>
    <cfRule type="expression" dxfId="680" priority="42">
      <formula>$G39="en cours"</formula>
    </cfRule>
    <cfRule type="expression" dxfId="679" priority="43">
      <formula>$G39="non compris"</formula>
    </cfRule>
  </conditionalFormatting>
  <conditionalFormatting sqref="D41">
    <cfRule type="expression" dxfId="678" priority="38">
      <formula>$G41="réalisé"</formula>
    </cfRule>
    <cfRule type="expression" dxfId="677" priority="39">
      <formula>$G41="en cours"</formula>
    </cfRule>
    <cfRule type="expression" dxfId="676" priority="40">
      <formula>$G41="non compris"</formula>
    </cfRule>
  </conditionalFormatting>
  <conditionalFormatting sqref="D44:D45">
    <cfRule type="expression" dxfId="675" priority="35">
      <formula>$G44="réalisé"</formula>
    </cfRule>
    <cfRule type="expression" dxfId="674" priority="36">
      <formula>$G44="en cours"</formula>
    </cfRule>
    <cfRule type="expression" dxfId="673" priority="37">
      <formula>$G44="non compris"</formula>
    </cfRule>
  </conditionalFormatting>
  <conditionalFormatting sqref="D30">
    <cfRule type="expression" dxfId="672" priority="32">
      <formula>$G30="réalisé"</formula>
    </cfRule>
    <cfRule type="expression" dxfId="671" priority="33">
      <formula>$G30="en cours"</formula>
    </cfRule>
    <cfRule type="expression" dxfId="670" priority="34">
      <formula>$G30="non compris"</formula>
    </cfRule>
  </conditionalFormatting>
  <conditionalFormatting sqref="D32">
    <cfRule type="expression" dxfId="669" priority="29">
      <formula>$G32="réalisé"</formula>
    </cfRule>
    <cfRule type="expression" dxfId="668" priority="30">
      <formula>$G32="en cours"</formula>
    </cfRule>
    <cfRule type="expression" dxfId="667" priority="31">
      <formula>$G32="non compris"</formula>
    </cfRule>
  </conditionalFormatting>
  <conditionalFormatting sqref="D34">
    <cfRule type="expression" dxfId="666" priority="26">
      <formula>$G34="réalisé"</formula>
    </cfRule>
    <cfRule type="expression" dxfId="665" priority="27">
      <formula>$G34="en cours"</formula>
    </cfRule>
    <cfRule type="expression" dxfId="664" priority="28">
      <formula>$G34="non compris"</formula>
    </cfRule>
  </conditionalFormatting>
  <conditionalFormatting sqref="D36">
    <cfRule type="expression" dxfId="663" priority="23">
      <formula>$G36="réalisé"</formula>
    </cfRule>
    <cfRule type="expression" dxfId="662" priority="24">
      <formula>$G36="en cours"</formula>
    </cfRule>
    <cfRule type="expression" dxfId="661" priority="25">
      <formula>$G36="non compris"</formula>
    </cfRule>
  </conditionalFormatting>
  <conditionalFormatting sqref="D38">
    <cfRule type="expression" dxfId="660" priority="20">
      <formula>$G38="réalisé"</formula>
    </cfRule>
    <cfRule type="expression" dxfId="659" priority="21">
      <formula>$G38="en cours"</formula>
    </cfRule>
    <cfRule type="expression" dxfId="658" priority="22">
      <formula>$G38="non compris"</formula>
    </cfRule>
  </conditionalFormatting>
  <conditionalFormatting sqref="D40">
    <cfRule type="expression" dxfId="657" priority="17">
      <formula>$G40="réalisé"</formula>
    </cfRule>
    <cfRule type="expression" dxfId="656" priority="18">
      <formula>$G40="en cours"</formula>
    </cfRule>
    <cfRule type="expression" dxfId="655" priority="19">
      <formula>$G40="non compris"</formula>
    </cfRule>
  </conditionalFormatting>
  <conditionalFormatting sqref="D42:D43">
    <cfRule type="expression" dxfId="654" priority="14">
      <formula>$G42="réalisé"</formula>
    </cfRule>
    <cfRule type="expression" dxfId="653" priority="15">
      <formula>$G42="en cours"</formula>
    </cfRule>
    <cfRule type="expression" dxfId="652" priority="16">
      <formula>$G42="non compris"</formula>
    </cfRule>
  </conditionalFormatting>
  <conditionalFormatting sqref="D50">
    <cfRule type="expression" dxfId="651" priority="11">
      <formula>$G50="réalisé"</formula>
    </cfRule>
    <cfRule type="expression" dxfId="650" priority="12">
      <formula>$G50="en cours"</formula>
    </cfRule>
    <cfRule type="expression" dxfId="649" priority="13">
      <formula>$G50="non compris"</formula>
    </cfRule>
  </conditionalFormatting>
  <conditionalFormatting sqref="D49">
    <cfRule type="expression" dxfId="648" priority="8">
      <formula>$G49="réalisé"</formula>
    </cfRule>
    <cfRule type="expression" dxfId="647" priority="9">
      <formula>$G49="en cours"</formula>
    </cfRule>
    <cfRule type="expression" dxfId="646" priority="10">
      <formula>$G49="non compris"</formula>
    </cfRule>
  </conditionalFormatting>
  <conditionalFormatting sqref="D48">
    <cfRule type="expression" dxfId="645" priority="5">
      <formula>$G48="réalisé"</formula>
    </cfRule>
    <cfRule type="expression" dxfId="644" priority="6">
      <formula>$G48="en cours"</formula>
    </cfRule>
    <cfRule type="expression" dxfId="643" priority="7">
      <formula>$G48="non compris"</formula>
    </cfRule>
  </conditionalFormatting>
  <conditionalFormatting sqref="D51">
    <cfRule type="expression" dxfId="642" priority="2">
      <formula>$G51="réalisé"</formula>
    </cfRule>
    <cfRule type="expression" dxfId="641" priority="3">
      <formula>$G51="en cours"</formula>
    </cfRule>
    <cfRule type="expression" dxfId="640" priority="4">
      <formula>$G51="non compris"</formula>
    </cfRule>
  </conditionalFormatting>
  <conditionalFormatting sqref="D8:D26">
    <cfRule type="expression" dxfId="639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8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tabColor rgb="FF00B050"/>
    <pageSetUpPr fitToPage="1"/>
  </sheetPr>
  <dimension ref="A1:I74"/>
  <sheetViews>
    <sheetView zoomScaleNormal="100" workbookViewId="0">
      <selection activeCell="L16" sqref="L16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7" t="s">
        <v>0</v>
      </c>
      <c r="B1" s="378"/>
      <c r="C1" s="378"/>
      <c r="D1" s="378"/>
      <c r="E1" s="378"/>
      <c r="F1" s="378"/>
      <c r="G1" s="378"/>
      <c r="H1" s="1" t="s">
        <v>1</v>
      </c>
      <c r="I1" s="3">
        <f ca="1">INT(MOD(INT((LISTE!D1-2)/7)+0.6,52+5/28))+1</f>
        <v>41</v>
      </c>
    </row>
    <row r="2" spans="1:9" x14ac:dyDescent="0.25">
      <c r="A2" s="390" t="s">
        <v>2</v>
      </c>
      <c r="B2" s="391"/>
      <c r="C2" s="70" t="str">
        <f ca="1">MID(CELL("nomfichier",A1),FIND("]",CELL("nomfichier",A1),1)+1,30)</f>
        <v>TEDONE</v>
      </c>
      <c r="D2" s="4" t="s">
        <v>72</v>
      </c>
      <c r="E2" s="379"/>
      <c r="F2" s="379"/>
      <c r="G2" s="5"/>
      <c r="H2" s="380" t="s">
        <v>143</v>
      </c>
      <c r="I2" s="381"/>
    </row>
    <row r="3" spans="1:9" ht="15.75" x14ac:dyDescent="0.25">
      <c r="A3" s="392" t="s">
        <v>106</v>
      </c>
      <c r="B3" s="384"/>
      <c r="C3" s="6"/>
      <c r="D3" s="7" t="s">
        <v>3</v>
      </c>
      <c r="E3" s="382"/>
      <c r="F3" s="383"/>
      <c r="G3" s="8"/>
      <c r="H3" s="384" t="str">
        <f ca="1">DATEDIF(E3,TODAY(),"m")&amp;"mois"&amp;-DATEDIF(E3,TODAY(),"md")&amp;"jours"</f>
        <v>1425mois-12jours</v>
      </c>
      <c r="I3" s="385"/>
    </row>
    <row r="4" spans="1:9" ht="18.75" x14ac:dyDescent="0.25">
      <c r="A4" s="69" t="s">
        <v>117</v>
      </c>
      <c r="B4" s="129"/>
      <c r="C4" s="9"/>
      <c r="D4" s="10" t="s">
        <v>4</v>
      </c>
      <c r="E4" s="386">
        <f>E3+60</f>
        <v>60</v>
      </c>
      <c r="F4" s="386"/>
      <c r="G4" s="11"/>
      <c r="H4" s="12"/>
      <c r="I4" s="13"/>
    </row>
    <row r="5" spans="1:9" x14ac:dyDescent="0.25">
      <c r="A5" s="393" t="s">
        <v>76</v>
      </c>
      <c r="B5" s="394"/>
      <c r="C5" s="15"/>
      <c r="D5" s="16"/>
      <c r="E5" s="15"/>
      <c r="F5" s="15"/>
      <c r="G5" s="17"/>
      <c r="H5" s="18"/>
      <c r="I5" s="19"/>
    </row>
    <row r="6" spans="1:9" ht="18.75" x14ac:dyDescent="0.3">
      <c r="A6" s="395" t="s">
        <v>75</v>
      </c>
      <c r="B6" s="396"/>
      <c r="C6" s="387" t="s">
        <v>145</v>
      </c>
      <c r="D6" s="388"/>
      <c r="E6" s="388"/>
      <c r="F6" s="388"/>
      <c r="G6" s="388"/>
      <c r="H6" s="389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22"/>
      <c r="B8" s="200"/>
      <c r="C8" s="28" t="s">
        <v>124</v>
      </c>
      <c r="D8" s="52" t="s">
        <v>65</v>
      </c>
      <c r="E8" s="180">
        <v>36</v>
      </c>
      <c r="F8" s="25"/>
      <c r="G8" s="26" t="s">
        <v>9</v>
      </c>
      <c r="H8" s="27"/>
      <c r="I8" s="19"/>
    </row>
    <row r="9" spans="1:9" x14ac:dyDescent="0.25">
      <c r="A9" s="122"/>
      <c r="B9" s="130"/>
      <c r="C9" s="28" t="s">
        <v>131</v>
      </c>
      <c r="D9" s="53" t="str">
        <f>D8</f>
        <v>_</v>
      </c>
      <c r="E9" s="181">
        <f>E8+1</f>
        <v>37</v>
      </c>
      <c r="F9" s="29"/>
      <c r="G9" s="30" t="s">
        <v>9</v>
      </c>
      <c r="H9" s="27"/>
      <c r="I9" s="19"/>
    </row>
    <row r="10" spans="1:9" ht="15" customHeight="1" x14ac:dyDescent="0.25">
      <c r="A10" s="131"/>
      <c r="B10" s="182"/>
      <c r="C10" s="28" t="s">
        <v>132</v>
      </c>
      <c r="D10" s="52" t="str">
        <f>D9</f>
        <v>_</v>
      </c>
      <c r="E10" s="180">
        <f>E9</f>
        <v>37</v>
      </c>
      <c r="F10" s="31"/>
      <c r="G10" s="30" t="s">
        <v>9</v>
      </c>
      <c r="H10" s="27"/>
      <c r="I10" s="19"/>
    </row>
    <row r="11" spans="1:9" ht="15" customHeight="1" x14ac:dyDescent="0.25">
      <c r="A11" s="131"/>
      <c r="B11" s="132"/>
      <c r="C11" s="28" t="s">
        <v>133</v>
      </c>
      <c r="D11" s="54" t="str">
        <f>D8</f>
        <v>_</v>
      </c>
      <c r="E11" s="180">
        <f>E10+1</f>
        <v>38</v>
      </c>
      <c r="F11" s="31"/>
      <c r="G11" s="30" t="s">
        <v>9</v>
      </c>
      <c r="H11" s="27"/>
      <c r="I11" s="19"/>
    </row>
    <row r="12" spans="1:9" ht="15" customHeight="1" x14ac:dyDescent="0.25">
      <c r="A12" s="143"/>
      <c r="B12" s="143">
        <f>A12</f>
        <v>0</v>
      </c>
      <c r="C12" s="28" t="s">
        <v>134</v>
      </c>
      <c r="D12" s="54" t="str">
        <f t="shared" ref="D12:D14" si="0">D9</f>
        <v>_</v>
      </c>
      <c r="E12" s="180">
        <f>E11+2</f>
        <v>40</v>
      </c>
      <c r="F12" s="31"/>
      <c r="G12" s="30" t="s">
        <v>9</v>
      </c>
      <c r="H12" s="27"/>
      <c r="I12" s="19"/>
    </row>
    <row r="13" spans="1:9" ht="15" customHeight="1" x14ac:dyDescent="0.25">
      <c r="A13" s="131"/>
      <c r="B13" s="132"/>
      <c r="C13" s="28" t="s">
        <v>135</v>
      </c>
      <c r="D13" s="54" t="str">
        <f t="shared" si="0"/>
        <v>_</v>
      </c>
      <c r="E13" s="180">
        <f>E12+1</f>
        <v>41</v>
      </c>
      <c r="F13" s="31"/>
      <c r="G13" s="30" t="s">
        <v>9</v>
      </c>
      <c r="H13" s="27"/>
      <c r="I13" s="19"/>
    </row>
    <row r="14" spans="1:9" ht="15" customHeight="1" x14ac:dyDescent="0.25">
      <c r="A14" s="131"/>
      <c r="B14" s="132"/>
      <c r="C14" s="28" t="s">
        <v>136</v>
      </c>
      <c r="D14" s="54" t="str">
        <f t="shared" si="0"/>
        <v>_</v>
      </c>
      <c r="E14" s="180">
        <f>E13</f>
        <v>41</v>
      </c>
      <c r="F14" s="31"/>
      <c r="G14" s="30" t="s">
        <v>9</v>
      </c>
      <c r="H14" s="27"/>
      <c r="I14" s="19"/>
    </row>
    <row r="15" spans="1:9" x14ac:dyDescent="0.25">
      <c r="A15" s="131"/>
      <c r="B15" s="132"/>
      <c r="C15" s="28" t="s">
        <v>62</v>
      </c>
      <c r="D15" s="53" t="s">
        <v>64</v>
      </c>
      <c r="E15" s="24">
        <f>E10+1</f>
        <v>38</v>
      </c>
      <c r="F15" s="29"/>
      <c r="G15" s="30" t="s">
        <v>70</v>
      </c>
      <c r="H15" s="27"/>
      <c r="I15" s="19"/>
    </row>
    <row r="16" spans="1:9" x14ac:dyDescent="0.25">
      <c r="A16" s="131"/>
      <c r="B16" s="132"/>
      <c r="C16" s="28" t="s">
        <v>10</v>
      </c>
      <c r="D16" s="52" t="s">
        <v>64</v>
      </c>
      <c r="E16" s="24">
        <f>E15+1</f>
        <v>39</v>
      </c>
      <c r="F16" s="29"/>
      <c r="G16" s="30" t="s">
        <v>70</v>
      </c>
      <c r="H16" s="27"/>
      <c r="I16" s="19"/>
    </row>
    <row r="17" spans="1:9" x14ac:dyDescent="0.25">
      <c r="A17" s="131"/>
      <c r="B17" s="132"/>
      <c r="C17" s="28" t="s">
        <v>11</v>
      </c>
      <c r="D17" s="53" t="s">
        <v>65</v>
      </c>
      <c r="E17" s="24">
        <f>E13+1</f>
        <v>42</v>
      </c>
      <c r="F17" s="29"/>
      <c r="G17" s="30" t="s">
        <v>9</v>
      </c>
      <c r="H17" s="27"/>
      <c r="I17" s="19"/>
    </row>
    <row r="18" spans="1:9" x14ac:dyDescent="0.25">
      <c r="A18" s="143"/>
      <c r="B18" s="143">
        <f>A18</f>
        <v>0</v>
      </c>
      <c r="C18" s="28" t="s">
        <v>12</v>
      </c>
      <c r="D18" s="52" t="s">
        <v>65</v>
      </c>
      <c r="E18" s="180">
        <f>IF(E13="","",MOD(E17+1,52))</f>
        <v>43</v>
      </c>
      <c r="F18" s="29"/>
      <c r="G18" s="30" t="s">
        <v>9</v>
      </c>
      <c r="H18" s="27"/>
      <c r="I18" s="19"/>
    </row>
    <row r="19" spans="1:9" x14ac:dyDescent="0.25">
      <c r="A19" s="131"/>
      <c r="B19" s="132"/>
      <c r="C19" s="28" t="s">
        <v>73</v>
      </c>
      <c r="D19" s="53" t="str">
        <f>D10</f>
        <v>_</v>
      </c>
      <c r="E19" s="24">
        <f>IF(E18="","",MOD(E18+1,52))</f>
        <v>44</v>
      </c>
      <c r="F19" s="29"/>
      <c r="G19" s="30" t="s">
        <v>9</v>
      </c>
      <c r="H19" s="27"/>
      <c r="I19" s="19"/>
    </row>
    <row r="20" spans="1:9" x14ac:dyDescent="0.25">
      <c r="A20" s="142"/>
      <c r="B20" s="143">
        <f>A20</f>
        <v>0</v>
      </c>
      <c r="C20" s="28" t="s">
        <v>59</v>
      </c>
      <c r="D20" s="52" t="s">
        <v>65</v>
      </c>
      <c r="E20" s="24">
        <f>IF(E19="","",MOD(E19+1,52))</f>
        <v>45</v>
      </c>
      <c r="F20" s="29"/>
      <c r="G20" s="30" t="s">
        <v>9</v>
      </c>
      <c r="H20" s="27"/>
      <c r="I20" s="19"/>
    </row>
    <row r="21" spans="1:9" x14ac:dyDescent="0.25">
      <c r="A21" s="142"/>
      <c r="B21" s="143">
        <f>A21</f>
        <v>0</v>
      </c>
      <c r="C21" s="28" t="s">
        <v>60</v>
      </c>
      <c r="D21" s="54" t="s">
        <v>65</v>
      </c>
      <c r="E21" s="24">
        <f>E20</f>
        <v>45</v>
      </c>
      <c r="F21" s="29"/>
      <c r="G21" s="30" t="s">
        <v>9</v>
      </c>
      <c r="H21" s="50"/>
      <c r="I21" s="19"/>
    </row>
    <row r="22" spans="1:9" x14ac:dyDescent="0.25">
      <c r="A22" s="131"/>
      <c r="B22" s="132"/>
      <c r="C22" s="167" t="s">
        <v>13</v>
      </c>
      <c r="D22" s="168" t="s">
        <v>65</v>
      </c>
      <c r="E22" s="169">
        <f>E20</f>
        <v>45</v>
      </c>
      <c r="F22" s="170"/>
      <c r="G22" s="171" t="s">
        <v>9</v>
      </c>
      <c r="H22" s="172"/>
      <c r="I22" s="19"/>
    </row>
    <row r="23" spans="1:9" x14ac:dyDescent="0.25">
      <c r="A23" s="143"/>
      <c r="B23" s="143">
        <f>A23</f>
        <v>0</v>
      </c>
      <c r="C23" s="32" t="s">
        <v>138</v>
      </c>
      <c r="D23" s="52" t="s">
        <v>65</v>
      </c>
      <c r="E23" s="24">
        <f>IF(E20="","",MOD(E20+2,52))</f>
        <v>47</v>
      </c>
      <c r="F23" s="29"/>
      <c r="G23" s="30" t="s">
        <v>9</v>
      </c>
      <c r="H23" s="27"/>
      <c r="I23" s="19"/>
    </row>
    <row r="24" spans="1:9" x14ac:dyDescent="0.25">
      <c r="A24" s="131"/>
      <c r="B24" s="132"/>
      <c r="C24" s="28" t="s">
        <v>14</v>
      </c>
      <c r="D24" s="53" t="str">
        <f>D17</f>
        <v>_</v>
      </c>
      <c r="E24" s="24">
        <f>IF(E20="","",MOD(E20+2,52))</f>
        <v>47</v>
      </c>
      <c r="F24" s="29"/>
      <c r="G24" s="30" t="s">
        <v>9</v>
      </c>
      <c r="H24" s="27"/>
      <c r="I24" s="19"/>
    </row>
    <row r="25" spans="1:9" x14ac:dyDescent="0.25">
      <c r="A25" s="143"/>
      <c r="B25" s="143">
        <f>A25</f>
        <v>0</v>
      </c>
      <c r="C25" s="183" t="s">
        <v>137</v>
      </c>
      <c r="D25" s="53" t="s">
        <v>65</v>
      </c>
      <c r="E25" s="24">
        <f>E23</f>
        <v>47</v>
      </c>
      <c r="F25" s="29"/>
      <c r="G25" s="72" t="s">
        <v>9</v>
      </c>
      <c r="H25" s="27"/>
      <c r="I25" s="19"/>
    </row>
    <row r="26" spans="1:9" x14ac:dyDescent="0.25">
      <c r="A26" s="131"/>
      <c r="B26" s="132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145"/>
      <c r="B27" s="146"/>
      <c r="C27" s="387" t="s">
        <v>144</v>
      </c>
      <c r="D27" s="388"/>
      <c r="E27" s="388"/>
      <c r="F27" s="388"/>
      <c r="G27" s="388"/>
      <c r="H27" s="389"/>
      <c r="I27" s="19"/>
    </row>
    <row r="28" spans="1:9" ht="15.75" thickBot="1" x14ac:dyDescent="0.3">
      <c r="A28" s="131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43"/>
      <c r="B29" s="143">
        <f>A29</f>
        <v>0</v>
      </c>
      <c r="C29" s="78" t="s">
        <v>66</v>
      </c>
      <c r="D29" s="52" t="s">
        <v>65</v>
      </c>
      <c r="E29" s="79">
        <f>IF(E24="","",MOD(E24+1,52))</f>
        <v>48</v>
      </c>
      <c r="F29" s="25"/>
      <c r="G29" s="26" t="s">
        <v>9</v>
      </c>
      <c r="H29" s="27"/>
      <c r="I29" s="19"/>
    </row>
    <row r="30" spans="1:9" x14ac:dyDescent="0.25">
      <c r="A30" s="143"/>
      <c r="B30" s="143">
        <f>A30</f>
        <v>0</v>
      </c>
      <c r="C30" s="28" t="s">
        <v>67</v>
      </c>
      <c r="D30" s="53" t="s">
        <v>65</v>
      </c>
      <c r="E30" s="24">
        <f>IF(E29="","",MOD(E29+1,52))</f>
        <v>49</v>
      </c>
      <c r="F30" s="29"/>
      <c r="G30" s="30"/>
      <c r="H30" s="27"/>
      <c r="I30" s="19"/>
    </row>
    <row r="31" spans="1:9" x14ac:dyDescent="0.25">
      <c r="A31" s="131"/>
      <c r="B31" s="132"/>
      <c r="C31" s="62" t="s">
        <v>16</v>
      </c>
      <c r="D31" s="52" t="str">
        <f>D29</f>
        <v>_</v>
      </c>
      <c r="E31" s="24">
        <f>IF(E30="","",MOD(E30+2,52))</f>
        <v>51</v>
      </c>
      <c r="F31" s="29"/>
      <c r="G31" s="30"/>
      <c r="H31" s="27"/>
      <c r="I31" s="19"/>
    </row>
    <row r="32" spans="1:9" x14ac:dyDescent="0.25">
      <c r="A32" s="143"/>
      <c r="B32" s="143">
        <f>A32</f>
        <v>0</v>
      </c>
      <c r="C32" s="80" t="s">
        <v>17</v>
      </c>
      <c r="D32" s="53" t="s">
        <v>65</v>
      </c>
      <c r="E32" s="24">
        <f>IF(E30="","",MOD(E30+2,52))</f>
        <v>51</v>
      </c>
      <c r="F32" s="29"/>
      <c r="G32" s="30"/>
      <c r="H32" s="27"/>
      <c r="I32" s="19"/>
    </row>
    <row r="33" spans="1:9" x14ac:dyDescent="0.25">
      <c r="A33" s="143"/>
      <c r="B33" s="143"/>
      <c r="C33" s="62" t="s">
        <v>140</v>
      </c>
      <c r="D33" s="52" t="s">
        <v>65</v>
      </c>
      <c r="E33" s="24">
        <f>IF(E32="","",MOD(E32+1,52))</f>
        <v>0</v>
      </c>
      <c r="F33" s="29"/>
      <c r="G33" s="30"/>
      <c r="H33" s="27"/>
      <c r="I33" s="19"/>
    </row>
    <row r="34" spans="1:9" x14ac:dyDescent="0.25">
      <c r="A34" s="143"/>
      <c r="B34" s="143">
        <f>A34</f>
        <v>0</v>
      </c>
      <c r="C34" s="28" t="s">
        <v>141</v>
      </c>
      <c r="D34" s="53" t="s">
        <v>65</v>
      </c>
      <c r="E34" s="24">
        <f>IF(E32="","",MOD(E32+1,52))</f>
        <v>0</v>
      </c>
      <c r="F34" s="29"/>
      <c r="G34" s="30"/>
      <c r="H34" s="27"/>
      <c r="I34" s="19"/>
    </row>
    <row r="35" spans="1:9" x14ac:dyDescent="0.25">
      <c r="A35" s="131"/>
      <c r="B35" s="13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143"/>
      <c r="B36" s="143">
        <f>A36</f>
        <v>0</v>
      </c>
      <c r="C36" s="28" t="s">
        <v>19</v>
      </c>
      <c r="D36" s="53" t="s">
        <v>65</v>
      </c>
      <c r="E36" s="24">
        <f>IF(E34="","",MOD(E34+1,52))</f>
        <v>1</v>
      </c>
      <c r="F36" s="29"/>
      <c r="G36" s="30"/>
      <c r="H36" s="27"/>
      <c r="I36" s="19"/>
    </row>
    <row r="37" spans="1:9" x14ac:dyDescent="0.25">
      <c r="A37" s="131"/>
      <c r="B37" s="132"/>
      <c r="C37" s="28" t="s">
        <v>20</v>
      </c>
      <c r="D37" s="52" t="str">
        <f>D30</f>
        <v>_</v>
      </c>
      <c r="E37" s="24">
        <f>IF(E36="","",MOD(E36+1,52))</f>
        <v>2</v>
      </c>
      <c r="F37" s="29"/>
      <c r="G37" s="30"/>
      <c r="H37" s="27"/>
      <c r="I37" s="19"/>
    </row>
    <row r="38" spans="1:9" x14ac:dyDescent="0.25">
      <c r="A38" s="131"/>
      <c r="B38" s="132"/>
      <c r="C38" s="28" t="s">
        <v>21</v>
      </c>
      <c r="D38" s="53" t="str">
        <f>D29</f>
        <v>_</v>
      </c>
      <c r="E38" s="24">
        <f>IF(E37="","",MOD(E37+1,52))</f>
        <v>3</v>
      </c>
      <c r="F38" s="29"/>
      <c r="G38" s="30" t="s">
        <v>9</v>
      </c>
      <c r="H38" s="27"/>
      <c r="I38" s="19"/>
    </row>
    <row r="39" spans="1:9" x14ac:dyDescent="0.25">
      <c r="A39" s="131"/>
      <c r="B39" s="132"/>
      <c r="C39" s="28" t="s">
        <v>22</v>
      </c>
      <c r="D39" s="52" t="str">
        <f>D32</f>
        <v>_</v>
      </c>
      <c r="E39" s="24">
        <f>IF(E37="","",MOD(E37+1,52))</f>
        <v>3</v>
      </c>
      <c r="F39" s="29"/>
      <c r="G39" s="30"/>
      <c r="H39" s="27"/>
      <c r="I39" s="19"/>
    </row>
    <row r="40" spans="1:9" x14ac:dyDescent="0.25">
      <c r="A40" s="131"/>
      <c r="B40" s="132"/>
      <c r="C40" s="28" t="s">
        <v>23</v>
      </c>
      <c r="D40" s="53" t="s">
        <v>64</v>
      </c>
      <c r="E40" s="24">
        <f>E36+4</f>
        <v>5</v>
      </c>
      <c r="F40" s="29"/>
      <c r="G40" s="30" t="s">
        <v>70</v>
      </c>
      <c r="H40" s="27"/>
      <c r="I40" s="19"/>
    </row>
    <row r="41" spans="1:9" x14ac:dyDescent="0.25">
      <c r="A41" s="131"/>
      <c r="B41" s="132"/>
      <c r="C41" s="28" t="s">
        <v>24</v>
      </c>
      <c r="D41" s="52" t="s">
        <v>64</v>
      </c>
      <c r="E41" s="24">
        <f>E39+1</f>
        <v>4</v>
      </c>
      <c r="F41" s="29"/>
      <c r="G41" s="30" t="s">
        <v>70</v>
      </c>
      <c r="H41" s="27"/>
      <c r="I41" s="19"/>
    </row>
    <row r="42" spans="1:9" x14ac:dyDescent="0.25">
      <c r="A42" s="131"/>
      <c r="B42" s="132"/>
      <c r="C42" s="28" t="s">
        <v>25</v>
      </c>
      <c r="D42" s="53" t="str">
        <f>D34</f>
        <v>_</v>
      </c>
      <c r="E42" s="24">
        <f>IF(E40="","",MOD(E40+2,52))</f>
        <v>7</v>
      </c>
      <c r="F42" s="29"/>
      <c r="G42" s="30"/>
      <c r="H42" s="27"/>
      <c r="I42" s="19"/>
    </row>
    <row r="43" spans="1:9" x14ac:dyDescent="0.25">
      <c r="A43" s="143"/>
      <c r="B43" s="143">
        <f>A43</f>
        <v>0</v>
      </c>
      <c r="C43" s="81" t="s">
        <v>147</v>
      </c>
      <c r="D43" s="52" t="s">
        <v>65</v>
      </c>
      <c r="E43" s="82">
        <f>E44</f>
        <v>7</v>
      </c>
      <c r="F43" s="83"/>
      <c r="G43" s="72"/>
      <c r="H43" s="27"/>
      <c r="I43" s="19"/>
    </row>
    <row r="44" spans="1:9" x14ac:dyDescent="0.25">
      <c r="A44" s="143"/>
      <c r="B44" s="143">
        <f>A44</f>
        <v>0</v>
      </c>
      <c r="C44" s="81" t="s">
        <v>139</v>
      </c>
      <c r="D44" s="193" t="s">
        <v>65</v>
      </c>
      <c r="E44" s="82">
        <f>IF(E40="","",MOD(E40+2,52))</f>
        <v>7</v>
      </c>
      <c r="F44" s="83"/>
      <c r="G44" s="72"/>
      <c r="H44" s="194"/>
      <c r="I44" s="19"/>
    </row>
    <row r="45" spans="1:9" x14ac:dyDescent="0.25">
      <c r="A45" s="131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145"/>
      <c r="B46" s="146"/>
      <c r="C46" s="387" t="s">
        <v>146</v>
      </c>
      <c r="D46" s="388"/>
      <c r="E46" s="388"/>
      <c r="F46" s="388"/>
      <c r="G46" s="388"/>
      <c r="H46" s="389"/>
      <c r="I46" s="19"/>
    </row>
    <row r="47" spans="1:9" ht="15.75" thickBot="1" x14ac:dyDescent="0.3">
      <c r="A47" s="131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143"/>
      <c r="B48" s="143">
        <f>A48</f>
        <v>0</v>
      </c>
      <c r="C48" s="88" t="s">
        <v>26</v>
      </c>
      <c r="D48" s="52" t="s">
        <v>65</v>
      </c>
      <c r="E48" s="89">
        <f>E32+1</f>
        <v>52</v>
      </c>
      <c r="F48" s="25"/>
      <c r="G48" s="26"/>
      <c r="H48" s="27"/>
      <c r="I48" s="19"/>
    </row>
    <row r="49" spans="1:9" x14ac:dyDescent="0.25">
      <c r="A49" s="133"/>
      <c r="B49" s="173"/>
      <c r="C49" s="102" t="s">
        <v>69</v>
      </c>
      <c r="D49" s="103" t="s">
        <v>64</v>
      </c>
      <c r="E49" s="104">
        <f>E48</f>
        <v>52</v>
      </c>
      <c r="F49" s="105"/>
      <c r="G49" s="106" t="s">
        <v>70</v>
      </c>
      <c r="H49" s="27"/>
      <c r="I49" s="19"/>
    </row>
    <row r="50" spans="1:9" x14ac:dyDescent="0.25">
      <c r="A50" s="133"/>
      <c r="B50" s="173"/>
      <c r="C50" s="92" t="s">
        <v>61</v>
      </c>
      <c r="D50" s="99" t="s">
        <v>68</v>
      </c>
      <c r="E50" s="101">
        <f>E48+1</f>
        <v>53</v>
      </c>
      <c r="F50" s="95"/>
      <c r="G50" s="96" t="s">
        <v>9</v>
      </c>
      <c r="H50" s="97"/>
      <c r="I50" s="19"/>
    </row>
    <row r="51" spans="1:9" x14ac:dyDescent="0.25">
      <c r="A51" s="133"/>
      <c r="B51" s="173"/>
      <c r="C51" s="91" t="s">
        <v>27</v>
      </c>
      <c r="D51" s="52" t="str">
        <f>D48</f>
        <v>_</v>
      </c>
      <c r="E51" s="90">
        <f>E48+3</f>
        <v>55</v>
      </c>
      <c r="F51" s="29"/>
      <c r="G51" s="72"/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7" t="s">
        <v>142</v>
      </c>
      <c r="I54" s="19"/>
    </row>
    <row r="55" spans="1:9" x14ac:dyDescent="0.25">
      <c r="A55" s="42"/>
      <c r="B55" s="126"/>
      <c r="C55" s="43" t="s">
        <v>122</v>
      </c>
      <c r="D55" s="107"/>
      <c r="E55" s="44"/>
      <c r="F55" s="45"/>
      <c r="G55" s="18"/>
      <c r="H55" s="398"/>
      <c r="I55" s="19"/>
    </row>
    <row r="56" spans="1:9" x14ac:dyDescent="0.25">
      <c r="A56" s="42"/>
      <c r="B56" s="126"/>
      <c r="C56" s="33" t="s">
        <v>123</v>
      </c>
      <c r="D56" s="49"/>
      <c r="E56" s="46"/>
      <c r="F56" s="2"/>
      <c r="G56" s="18"/>
      <c r="H56" s="399" t="str">
        <f>DATEDIF(E3,D58,"m")&amp;"mois"&amp;DATEDIF(E3,D58,"md")&amp;"jours"</f>
        <v>0mois0jours</v>
      </c>
      <c r="I56" s="19"/>
    </row>
    <row r="57" spans="1:9" ht="15.75" thickBot="1" x14ac:dyDescent="0.3">
      <c r="A57" s="42"/>
      <c r="B57" s="126"/>
      <c r="C57" s="33" t="s">
        <v>31</v>
      </c>
      <c r="D57" s="176"/>
      <c r="E57" s="46"/>
      <c r="F57" s="2"/>
      <c r="G57" s="18"/>
      <c r="H57" s="400"/>
      <c r="I57" s="19"/>
    </row>
    <row r="58" spans="1:9" x14ac:dyDescent="0.25">
      <c r="A58" s="42"/>
      <c r="B58" s="126"/>
      <c r="C58" s="47" t="s">
        <v>32</v>
      </c>
      <c r="D58" s="184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1"/>
      <c r="D60" s="371"/>
      <c r="E60" s="371"/>
      <c r="F60" s="371"/>
      <c r="G60" s="371"/>
      <c r="H60" s="371"/>
      <c r="I60" s="372"/>
    </row>
    <row r="61" spans="1:9" x14ac:dyDescent="0.25">
      <c r="A61" s="34"/>
      <c r="B61" s="18"/>
      <c r="C61" s="373"/>
      <c r="D61" s="373"/>
      <c r="E61" s="373"/>
      <c r="F61" s="373"/>
      <c r="G61" s="373"/>
      <c r="H61" s="373"/>
      <c r="I61" s="374"/>
    </row>
    <row r="62" spans="1:9" x14ac:dyDescent="0.25">
      <c r="A62" s="34"/>
      <c r="B62" s="18"/>
      <c r="C62" s="373"/>
      <c r="D62" s="373"/>
      <c r="E62" s="373"/>
      <c r="F62" s="373"/>
      <c r="G62" s="373"/>
      <c r="H62" s="373"/>
      <c r="I62" s="374"/>
    </row>
    <row r="63" spans="1:9" x14ac:dyDescent="0.25">
      <c r="A63" s="34"/>
      <c r="B63" s="18"/>
      <c r="C63" s="373"/>
      <c r="D63" s="373"/>
      <c r="E63" s="373"/>
      <c r="F63" s="373"/>
      <c r="G63" s="373"/>
      <c r="H63" s="373"/>
      <c r="I63" s="374"/>
    </row>
    <row r="64" spans="1:9" x14ac:dyDescent="0.25">
      <c r="A64" s="34"/>
      <c r="B64" s="18"/>
      <c r="C64" s="373"/>
      <c r="D64" s="373"/>
      <c r="E64" s="373"/>
      <c r="F64" s="373"/>
      <c r="G64" s="373"/>
      <c r="H64" s="373"/>
      <c r="I64" s="374"/>
    </row>
    <row r="65" spans="1:9" x14ac:dyDescent="0.25">
      <c r="A65" s="44"/>
      <c r="B65" s="45"/>
      <c r="C65" s="375"/>
      <c r="D65" s="375"/>
      <c r="E65" s="375"/>
      <c r="F65" s="375"/>
      <c r="G65" s="375"/>
      <c r="H65" s="375"/>
      <c r="I65" s="376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A1:G1"/>
    <mergeCell ref="A2:B2"/>
    <mergeCell ref="E2:F2"/>
    <mergeCell ref="H2:I2"/>
    <mergeCell ref="A3:B3"/>
    <mergeCell ref="E3:F3"/>
    <mergeCell ref="H3:I3"/>
    <mergeCell ref="H54:H55"/>
    <mergeCell ref="H56:H57"/>
    <mergeCell ref="C60:I65"/>
    <mergeCell ref="E4:F4"/>
    <mergeCell ref="A5:B5"/>
    <mergeCell ref="A6:B6"/>
    <mergeCell ref="C6:H6"/>
    <mergeCell ref="C27:H27"/>
    <mergeCell ref="C46:H46"/>
  </mergeCells>
  <conditionalFormatting sqref="C52:G52">
    <cfRule type="expression" dxfId="596" priority="70">
      <formula>$F52="réalisé"</formula>
    </cfRule>
  </conditionalFormatting>
  <conditionalFormatting sqref="C48:C51 E48:H51 E29:H45 C8:H26">
    <cfRule type="expression" dxfId="595" priority="67">
      <formula>$G8="réalisé"</formula>
    </cfRule>
    <cfRule type="expression" dxfId="594" priority="68">
      <formula>$G8="en cours"</formula>
    </cfRule>
    <cfRule type="expression" dxfId="593" priority="69">
      <formula>$G8="non compris"</formula>
    </cfRule>
  </conditionalFormatting>
  <conditionalFormatting sqref="C29:C45">
    <cfRule type="expression" dxfId="592" priority="64">
      <formula>$G29="réalisé"</formula>
    </cfRule>
    <cfRule type="expression" dxfId="591" priority="65">
      <formula>$G29="en cours"</formula>
    </cfRule>
    <cfRule type="expression" dxfId="590" priority="66">
      <formula>$G29="non compris"</formula>
    </cfRule>
  </conditionalFormatting>
  <conditionalFormatting sqref="C55:F58">
    <cfRule type="expression" dxfId="589" priority="63">
      <formula>$F55="réalisé"</formula>
    </cfRule>
  </conditionalFormatting>
  <conditionalFormatting sqref="G9">
    <cfRule type="expression" dxfId="588" priority="62">
      <formula>$G$10="réalisé"</formula>
    </cfRule>
  </conditionalFormatting>
  <conditionalFormatting sqref="G10:G14">
    <cfRule type="expression" dxfId="587" priority="61">
      <formula>$G$15="réalisé"</formula>
    </cfRule>
  </conditionalFormatting>
  <conditionalFormatting sqref="G20:G21">
    <cfRule type="expression" dxfId="586" priority="60">
      <formula>$G$22="réalisé"</formula>
    </cfRule>
  </conditionalFormatting>
  <conditionalFormatting sqref="G30">
    <cfRule type="expression" dxfId="585" priority="59">
      <formula>$G$31="réalisé"</formula>
    </cfRule>
  </conditionalFormatting>
  <conditionalFormatting sqref="D29">
    <cfRule type="expression" dxfId="584" priority="56">
      <formula>$G29="réalisé"</formula>
    </cfRule>
    <cfRule type="expression" dxfId="583" priority="57">
      <formula>$G29="en cours"</formula>
    </cfRule>
    <cfRule type="expression" dxfId="582" priority="58">
      <formula>$G29="non compris"</formula>
    </cfRule>
  </conditionalFormatting>
  <conditionalFormatting sqref="D31">
    <cfRule type="expression" dxfId="581" priority="53">
      <formula>$G31="réalisé"</formula>
    </cfRule>
    <cfRule type="expression" dxfId="580" priority="54">
      <formula>$G31="en cours"</formula>
    </cfRule>
    <cfRule type="expression" dxfId="579" priority="55">
      <formula>$G31="non compris"</formula>
    </cfRule>
  </conditionalFormatting>
  <conditionalFormatting sqref="D33">
    <cfRule type="expression" dxfId="578" priority="50">
      <formula>$G33="réalisé"</formula>
    </cfRule>
    <cfRule type="expression" dxfId="577" priority="51">
      <formula>$G33="en cours"</formula>
    </cfRule>
    <cfRule type="expression" dxfId="576" priority="52">
      <formula>$G33="non compris"</formula>
    </cfRule>
  </conditionalFormatting>
  <conditionalFormatting sqref="D35">
    <cfRule type="expression" dxfId="575" priority="47">
      <formula>$G35="réalisé"</formula>
    </cfRule>
    <cfRule type="expression" dxfId="574" priority="48">
      <formula>$G35="en cours"</formula>
    </cfRule>
    <cfRule type="expression" dxfId="573" priority="49">
      <formula>$G35="non compris"</formula>
    </cfRule>
  </conditionalFormatting>
  <conditionalFormatting sqref="D37">
    <cfRule type="expression" dxfId="572" priority="44">
      <formula>$G37="réalisé"</formula>
    </cfRule>
    <cfRule type="expression" dxfId="571" priority="45">
      <formula>$G37="en cours"</formula>
    </cfRule>
    <cfRule type="expression" dxfId="570" priority="46">
      <formula>$G37="non compris"</formula>
    </cfRule>
  </conditionalFormatting>
  <conditionalFormatting sqref="D39">
    <cfRule type="expression" dxfId="569" priority="41">
      <formula>$G39="réalisé"</formula>
    </cfRule>
    <cfRule type="expression" dxfId="568" priority="42">
      <formula>$G39="en cours"</formula>
    </cfRule>
    <cfRule type="expression" dxfId="567" priority="43">
      <formula>$G39="non compris"</formula>
    </cfRule>
  </conditionalFormatting>
  <conditionalFormatting sqref="D41">
    <cfRule type="expression" dxfId="566" priority="38">
      <formula>$G41="réalisé"</formula>
    </cfRule>
    <cfRule type="expression" dxfId="565" priority="39">
      <formula>$G41="en cours"</formula>
    </cfRule>
    <cfRule type="expression" dxfId="564" priority="40">
      <formula>$G41="non compris"</formula>
    </cfRule>
  </conditionalFormatting>
  <conditionalFormatting sqref="D44:D45">
    <cfRule type="expression" dxfId="563" priority="35">
      <formula>$G44="réalisé"</formula>
    </cfRule>
    <cfRule type="expression" dxfId="562" priority="36">
      <formula>$G44="en cours"</formula>
    </cfRule>
    <cfRule type="expression" dxfId="561" priority="37">
      <formula>$G44="non compris"</formula>
    </cfRule>
  </conditionalFormatting>
  <conditionalFormatting sqref="D30">
    <cfRule type="expression" dxfId="560" priority="32">
      <formula>$G30="réalisé"</formula>
    </cfRule>
    <cfRule type="expression" dxfId="559" priority="33">
      <formula>$G30="en cours"</formula>
    </cfRule>
    <cfRule type="expression" dxfId="558" priority="34">
      <formula>$G30="non compris"</formula>
    </cfRule>
  </conditionalFormatting>
  <conditionalFormatting sqref="D32">
    <cfRule type="expression" dxfId="557" priority="29">
      <formula>$G32="réalisé"</formula>
    </cfRule>
    <cfRule type="expression" dxfId="556" priority="30">
      <formula>$G32="en cours"</formula>
    </cfRule>
    <cfRule type="expression" dxfId="555" priority="31">
      <formula>$G32="non compris"</formula>
    </cfRule>
  </conditionalFormatting>
  <conditionalFormatting sqref="D34">
    <cfRule type="expression" dxfId="554" priority="26">
      <formula>$G34="réalisé"</formula>
    </cfRule>
    <cfRule type="expression" dxfId="553" priority="27">
      <formula>$G34="en cours"</formula>
    </cfRule>
    <cfRule type="expression" dxfId="552" priority="28">
      <formula>$G34="non compris"</formula>
    </cfRule>
  </conditionalFormatting>
  <conditionalFormatting sqref="D36">
    <cfRule type="expression" dxfId="551" priority="23">
      <formula>$G36="réalisé"</formula>
    </cfRule>
    <cfRule type="expression" dxfId="550" priority="24">
      <formula>$G36="en cours"</formula>
    </cfRule>
    <cfRule type="expression" dxfId="549" priority="25">
      <formula>$G36="non compris"</formula>
    </cfRule>
  </conditionalFormatting>
  <conditionalFormatting sqref="D38">
    <cfRule type="expression" dxfId="548" priority="20">
      <formula>$G38="réalisé"</formula>
    </cfRule>
    <cfRule type="expression" dxfId="547" priority="21">
      <formula>$G38="en cours"</formula>
    </cfRule>
    <cfRule type="expression" dxfId="546" priority="22">
      <formula>$G38="non compris"</formula>
    </cfRule>
  </conditionalFormatting>
  <conditionalFormatting sqref="D40">
    <cfRule type="expression" dxfId="545" priority="17">
      <formula>$G40="réalisé"</formula>
    </cfRule>
    <cfRule type="expression" dxfId="544" priority="18">
      <formula>$G40="en cours"</formula>
    </cfRule>
    <cfRule type="expression" dxfId="543" priority="19">
      <formula>$G40="non compris"</formula>
    </cfRule>
  </conditionalFormatting>
  <conditionalFormatting sqref="D42:D43">
    <cfRule type="expression" dxfId="542" priority="14">
      <formula>$G42="réalisé"</formula>
    </cfRule>
    <cfRule type="expression" dxfId="541" priority="15">
      <formula>$G42="en cours"</formula>
    </cfRule>
    <cfRule type="expression" dxfId="540" priority="16">
      <formula>$G42="non compris"</formula>
    </cfRule>
  </conditionalFormatting>
  <conditionalFormatting sqref="D50">
    <cfRule type="expression" dxfId="539" priority="11">
      <formula>$G50="réalisé"</formula>
    </cfRule>
    <cfRule type="expression" dxfId="538" priority="12">
      <formula>$G50="en cours"</formula>
    </cfRule>
    <cfRule type="expression" dxfId="537" priority="13">
      <formula>$G50="non compris"</formula>
    </cfRule>
  </conditionalFormatting>
  <conditionalFormatting sqref="D49">
    <cfRule type="expression" dxfId="536" priority="8">
      <formula>$G49="réalisé"</formula>
    </cfRule>
    <cfRule type="expression" dxfId="535" priority="9">
      <formula>$G49="en cours"</formula>
    </cfRule>
    <cfRule type="expression" dxfId="534" priority="10">
      <formula>$G49="non compris"</formula>
    </cfRule>
  </conditionalFormatting>
  <conditionalFormatting sqref="D48">
    <cfRule type="expression" dxfId="533" priority="5">
      <formula>$G48="réalisé"</formula>
    </cfRule>
    <cfRule type="expression" dxfId="532" priority="6">
      <formula>$G48="en cours"</formula>
    </cfRule>
    <cfRule type="expression" dxfId="531" priority="7">
      <formula>$G48="non compris"</formula>
    </cfRule>
  </conditionalFormatting>
  <conditionalFormatting sqref="D51">
    <cfRule type="expression" dxfId="530" priority="2">
      <formula>$G51="réalisé"</formula>
    </cfRule>
    <cfRule type="expression" dxfId="529" priority="3">
      <formula>$G51="en cours"</formula>
    </cfRule>
    <cfRule type="expression" dxfId="528" priority="4">
      <formula>$G51="non compris"</formula>
    </cfRule>
  </conditionalFormatting>
  <conditionalFormatting sqref="D8:D26">
    <cfRule type="expression" dxfId="527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rgb="FF00B050"/>
    <pageSetUpPr fitToPage="1"/>
  </sheetPr>
  <dimension ref="A1:I74"/>
  <sheetViews>
    <sheetView zoomScaleNormal="100" workbookViewId="0">
      <selection activeCell="A28" sqref="A28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7" t="s">
        <v>0</v>
      </c>
      <c r="B1" s="378"/>
      <c r="C1" s="378"/>
      <c r="D1" s="378"/>
      <c r="E1" s="378"/>
      <c r="F1" s="378"/>
      <c r="G1" s="378"/>
      <c r="H1" s="1" t="s">
        <v>1</v>
      </c>
      <c r="I1" s="3">
        <f ca="1">INT(MOD(INT((LISTE!D1-2)/7)+0.6,52+5/28))+1</f>
        <v>41</v>
      </c>
    </row>
    <row r="2" spans="1:9" x14ac:dyDescent="0.25">
      <c r="A2" s="390" t="s">
        <v>2</v>
      </c>
      <c r="B2" s="391"/>
      <c r="C2" s="70" t="str">
        <f ca="1">MID(CELL("nomfichier",A1),FIND("]",CELL("nomfichier",A1),1)+1,30)</f>
        <v>TRUNZER</v>
      </c>
      <c r="D2" s="4" t="s">
        <v>72</v>
      </c>
      <c r="E2" s="379"/>
      <c r="F2" s="379"/>
      <c r="G2" s="5"/>
      <c r="H2" s="380" t="s">
        <v>143</v>
      </c>
      <c r="I2" s="381"/>
    </row>
    <row r="3" spans="1:9" ht="15.75" x14ac:dyDescent="0.25">
      <c r="A3" s="392" t="s">
        <v>106</v>
      </c>
      <c r="B3" s="384"/>
      <c r="C3" s="6"/>
      <c r="D3" s="7" t="s">
        <v>3</v>
      </c>
      <c r="E3" s="382"/>
      <c r="F3" s="383"/>
      <c r="G3" s="8"/>
      <c r="H3" s="384" t="str">
        <f ca="1">DATEDIF(E3,TODAY(),"m")&amp;"mois"&amp;-DATEDIF(E3,TODAY(),"md")&amp;"jours"</f>
        <v>1425mois-12jours</v>
      </c>
      <c r="I3" s="385"/>
    </row>
    <row r="4" spans="1:9" ht="18.75" x14ac:dyDescent="0.25">
      <c r="A4" s="69" t="s">
        <v>117</v>
      </c>
      <c r="B4" s="129"/>
      <c r="C4" s="9"/>
      <c r="D4" s="10" t="s">
        <v>4</v>
      </c>
      <c r="E4" s="386">
        <f>E3+60</f>
        <v>60</v>
      </c>
      <c r="F4" s="386"/>
      <c r="G4" s="11"/>
      <c r="H4" s="12"/>
      <c r="I4" s="13"/>
    </row>
    <row r="5" spans="1:9" x14ac:dyDescent="0.25">
      <c r="A5" s="393" t="s">
        <v>76</v>
      </c>
      <c r="B5" s="394"/>
      <c r="C5" s="15"/>
      <c r="D5" s="16"/>
      <c r="E5" s="15"/>
      <c r="F5" s="15"/>
      <c r="G5" s="17"/>
      <c r="H5" s="18"/>
      <c r="I5" s="19"/>
    </row>
    <row r="6" spans="1:9" ht="18.75" x14ac:dyDescent="0.3">
      <c r="A6" s="395" t="s">
        <v>75</v>
      </c>
      <c r="B6" s="396"/>
      <c r="C6" s="387" t="s">
        <v>145</v>
      </c>
      <c r="D6" s="388"/>
      <c r="E6" s="388"/>
      <c r="F6" s="388"/>
      <c r="G6" s="388"/>
      <c r="H6" s="389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22"/>
      <c r="B8" s="200"/>
      <c r="C8" s="28" t="s">
        <v>124</v>
      </c>
      <c r="D8" s="52" t="s">
        <v>65</v>
      </c>
      <c r="E8" s="180">
        <v>36</v>
      </c>
      <c r="F8" s="25"/>
      <c r="G8" s="26" t="s">
        <v>9</v>
      </c>
      <c r="H8" s="27"/>
      <c r="I8" s="19"/>
    </row>
    <row r="9" spans="1:9" x14ac:dyDescent="0.25">
      <c r="A9" s="122"/>
      <c r="B9" s="130"/>
      <c r="C9" s="28" t="s">
        <v>131</v>
      </c>
      <c r="D9" s="53" t="str">
        <f>D8</f>
        <v>_</v>
      </c>
      <c r="E9" s="181">
        <f>E8+1</f>
        <v>37</v>
      </c>
      <c r="F9" s="29"/>
      <c r="G9" s="30" t="s">
        <v>9</v>
      </c>
      <c r="H9" s="27"/>
      <c r="I9" s="19"/>
    </row>
    <row r="10" spans="1:9" ht="15" customHeight="1" x14ac:dyDescent="0.25">
      <c r="A10" s="131"/>
      <c r="B10" s="182"/>
      <c r="C10" s="28" t="s">
        <v>132</v>
      </c>
      <c r="D10" s="52" t="str">
        <f>D9</f>
        <v>_</v>
      </c>
      <c r="E10" s="180">
        <f>E9</f>
        <v>37</v>
      </c>
      <c r="F10" s="31"/>
      <c r="G10" s="30" t="s">
        <v>9</v>
      </c>
      <c r="H10" s="27"/>
      <c r="I10" s="19"/>
    </row>
    <row r="11" spans="1:9" ht="15" customHeight="1" x14ac:dyDescent="0.25">
      <c r="A11" s="131"/>
      <c r="B11" s="132"/>
      <c r="C11" s="28" t="s">
        <v>133</v>
      </c>
      <c r="D11" s="54" t="str">
        <f>D8</f>
        <v>_</v>
      </c>
      <c r="E11" s="180">
        <f>E10+1</f>
        <v>38</v>
      </c>
      <c r="F11" s="31"/>
      <c r="G11" s="30" t="s">
        <v>9</v>
      </c>
      <c r="H11" s="27"/>
      <c r="I11" s="19"/>
    </row>
    <row r="12" spans="1:9" ht="15" customHeight="1" x14ac:dyDescent="0.25">
      <c r="A12" s="143"/>
      <c r="B12" s="143">
        <f>A12</f>
        <v>0</v>
      </c>
      <c r="C12" s="28" t="s">
        <v>134</v>
      </c>
      <c r="D12" s="54" t="str">
        <f t="shared" ref="D12:D14" si="0">D9</f>
        <v>_</v>
      </c>
      <c r="E12" s="180">
        <f>E11+2</f>
        <v>40</v>
      </c>
      <c r="F12" s="31"/>
      <c r="G12" s="30" t="s">
        <v>9</v>
      </c>
      <c r="H12" s="27"/>
      <c r="I12" s="19"/>
    </row>
    <row r="13" spans="1:9" ht="15" customHeight="1" x14ac:dyDescent="0.25">
      <c r="A13" s="131"/>
      <c r="B13" s="132"/>
      <c r="C13" s="28" t="s">
        <v>135</v>
      </c>
      <c r="D13" s="54" t="str">
        <f t="shared" si="0"/>
        <v>_</v>
      </c>
      <c r="E13" s="180">
        <f>E12+1</f>
        <v>41</v>
      </c>
      <c r="F13" s="31"/>
      <c r="G13" s="30" t="s">
        <v>9</v>
      </c>
      <c r="H13" s="27"/>
      <c r="I13" s="19"/>
    </row>
    <row r="14" spans="1:9" ht="15" customHeight="1" x14ac:dyDescent="0.25">
      <c r="A14" s="131"/>
      <c r="B14" s="132"/>
      <c r="C14" s="28" t="s">
        <v>136</v>
      </c>
      <c r="D14" s="54" t="str">
        <f t="shared" si="0"/>
        <v>_</v>
      </c>
      <c r="E14" s="180">
        <f>E13</f>
        <v>41</v>
      </c>
      <c r="F14" s="31"/>
      <c r="G14" s="30" t="s">
        <v>9</v>
      </c>
      <c r="H14" s="27"/>
      <c r="I14" s="19"/>
    </row>
    <row r="15" spans="1:9" x14ac:dyDescent="0.25">
      <c r="A15" s="131"/>
      <c r="B15" s="132"/>
      <c r="C15" s="28" t="s">
        <v>62</v>
      </c>
      <c r="D15" s="53" t="s">
        <v>64</v>
      </c>
      <c r="E15" s="24">
        <f>E10+1</f>
        <v>38</v>
      </c>
      <c r="F15" s="29"/>
      <c r="G15" s="30" t="s">
        <v>70</v>
      </c>
      <c r="H15" s="27"/>
      <c r="I15" s="19"/>
    </row>
    <row r="16" spans="1:9" x14ac:dyDescent="0.25">
      <c r="A16" s="131"/>
      <c r="B16" s="132"/>
      <c r="C16" s="28" t="s">
        <v>10</v>
      </c>
      <c r="D16" s="52" t="s">
        <v>64</v>
      </c>
      <c r="E16" s="24">
        <f>E15+1</f>
        <v>39</v>
      </c>
      <c r="F16" s="29"/>
      <c r="G16" s="30" t="s">
        <v>70</v>
      </c>
      <c r="H16" s="27"/>
      <c r="I16" s="19"/>
    </row>
    <row r="17" spans="1:9" x14ac:dyDescent="0.25">
      <c r="A17" s="131"/>
      <c r="B17" s="132"/>
      <c r="C17" s="28" t="s">
        <v>11</v>
      </c>
      <c r="D17" s="53" t="s">
        <v>65</v>
      </c>
      <c r="E17" s="24">
        <f>E13+1</f>
        <v>42</v>
      </c>
      <c r="F17" s="29"/>
      <c r="G17" s="30" t="s">
        <v>9</v>
      </c>
      <c r="H17" s="27"/>
      <c r="I17" s="19"/>
    </row>
    <row r="18" spans="1:9" x14ac:dyDescent="0.25">
      <c r="A18" s="143"/>
      <c r="B18" s="143">
        <f>A18</f>
        <v>0</v>
      </c>
      <c r="C18" s="28" t="s">
        <v>12</v>
      </c>
      <c r="D18" s="52" t="s">
        <v>65</v>
      </c>
      <c r="E18" s="180">
        <f>IF(E13="","",MOD(E17+1,52))</f>
        <v>43</v>
      </c>
      <c r="F18" s="29"/>
      <c r="G18" s="30" t="s">
        <v>9</v>
      </c>
      <c r="H18" s="27"/>
      <c r="I18" s="19"/>
    </row>
    <row r="19" spans="1:9" x14ac:dyDescent="0.25">
      <c r="A19" s="131"/>
      <c r="B19" s="132"/>
      <c r="C19" s="28" t="s">
        <v>73</v>
      </c>
      <c r="D19" s="53" t="str">
        <f>D10</f>
        <v>_</v>
      </c>
      <c r="E19" s="24">
        <f>IF(E18="","",MOD(E18+1,52))</f>
        <v>44</v>
      </c>
      <c r="F19" s="29"/>
      <c r="G19" s="30" t="s">
        <v>9</v>
      </c>
      <c r="H19" s="27"/>
      <c r="I19" s="19"/>
    </row>
    <row r="20" spans="1:9" x14ac:dyDescent="0.25">
      <c r="A20" s="142"/>
      <c r="B20" s="143">
        <f>A20</f>
        <v>0</v>
      </c>
      <c r="C20" s="28" t="s">
        <v>59</v>
      </c>
      <c r="D20" s="52" t="s">
        <v>65</v>
      </c>
      <c r="E20" s="24">
        <f>IF(E19="","",MOD(E19+1,52))</f>
        <v>45</v>
      </c>
      <c r="F20" s="29"/>
      <c r="G20" s="30" t="s">
        <v>9</v>
      </c>
      <c r="H20" s="27"/>
      <c r="I20" s="19"/>
    </row>
    <row r="21" spans="1:9" x14ac:dyDescent="0.25">
      <c r="A21" s="142"/>
      <c r="B21" s="143">
        <f>A21</f>
        <v>0</v>
      </c>
      <c r="C21" s="28" t="s">
        <v>60</v>
      </c>
      <c r="D21" s="54" t="s">
        <v>65</v>
      </c>
      <c r="E21" s="24">
        <f>E20</f>
        <v>45</v>
      </c>
      <c r="F21" s="29"/>
      <c r="G21" s="30" t="s">
        <v>9</v>
      </c>
      <c r="H21" s="50"/>
      <c r="I21" s="19"/>
    </row>
    <row r="22" spans="1:9" x14ac:dyDescent="0.25">
      <c r="A22" s="131"/>
      <c r="B22" s="132"/>
      <c r="C22" s="167" t="s">
        <v>13</v>
      </c>
      <c r="D22" s="168" t="s">
        <v>65</v>
      </c>
      <c r="E22" s="169">
        <f>E20</f>
        <v>45</v>
      </c>
      <c r="F22" s="170"/>
      <c r="G22" s="171" t="s">
        <v>9</v>
      </c>
      <c r="H22" s="172"/>
      <c r="I22" s="19"/>
    </row>
    <row r="23" spans="1:9" x14ac:dyDescent="0.25">
      <c r="A23" s="143"/>
      <c r="B23" s="143">
        <f>A23</f>
        <v>0</v>
      </c>
      <c r="C23" s="32" t="s">
        <v>138</v>
      </c>
      <c r="D23" s="52" t="s">
        <v>65</v>
      </c>
      <c r="E23" s="24">
        <f>IF(E20="","",MOD(E20+2,52))</f>
        <v>47</v>
      </c>
      <c r="F23" s="29"/>
      <c r="G23" s="30" t="s">
        <v>9</v>
      </c>
      <c r="H23" s="27"/>
      <c r="I23" s="19"/>
    </row>
    <row r="24" spans="1:9" x14ac:dyDescent="0.25">
      <c r="A24" s="131"/>
      <c r="B24" s="132"/>
      <c r="C24" s="28" t="s">
        <v>14</v>
      </c>
      <c r="D24" s="53" t="str">
        <f>D17</f>
        <v>_</v>
      </c>
      <c r="E24" s="24">
        <f>IF(E20="","",MOD(E20+2,52))</f>
        <v>47</v>
      </c>
      <c r="F24" s="29"/>
      <c r="G24" s="30" t="s">
        <v>9</v>
      </c>
      <c r="H24" s="27"/>
      <c r="I24" s="19"/>
    </row>
    <row r="25" spans="1:9" x14ac:dyDescent="0.25">
      <c r="A25" s="143"/>
      <c r="B25" s="143">
        <f>A25</f>
        <v>0</v>
      </c>
      <c r="C25" s="183" t="s">
        <v>137</v>
      </c>
      <c r="D25" s="53" t="s">
        <v>65</v>
      </c>
      <c r="E25" s="24">
        <f>E23</f>
        <v>47</v>
      </c>
      <c r="F25" s="29"/>
      <c r="G25" s="72" t="s">
        <v>9</v>
      </c>
      <c r="H25" s="27"/>
      <c r="I25" s="19"/>
    </row>
    <row r="26" spans="1:9" x14ac:dyDescent="0.25">
      <c r="A26" s="131"/>
      <c r="B26" s="132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145"/>
      <c r="B27" s="146"/>
      <c r="C27" s="387" t="s">
        <v>144</v>
      </c>
      <c r="D27" s="388"/>
      <c r="E27" s="388"/>
      <c r="F27" s="388"/>
      <c r="G27" s="388"/>
      <c r="H27" s="389"/>
      <c r="I27" s="19"/>
    </row>
    <row r="28" spans="1:9" ht="15.75" thickBot="1" x14ac:dyDescent="0.3">
      <c r="A28" s="131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43"/>
      <c r="B29" s="143">
        <f>A29</f>
        <v>0</v>
      </c>
      <c r="C29" s="78" t="s">
        <v>66</v>
      </c>
      <c r="D29" s="52" t="s">
        <v>65</v>
      </c>
      <c r="E29" s="79">
        <f>IF(E24="","",MOD(E24+1,52))</f>
        <v>48</v>
      </c>
      <c r="F29" s="25"/>
      <c r="G29" s="26" t="s">
        <v>9</v>
      </c>
      <c r="H29" s="27"/>
      <c r="I29" s="19"/>
    </row>
    <row r="30" spans="1:9" x14ac:dyDescent="0.25">
      <c r="A30" s="143"/>
      <c r="B30" s="143">
        <f>A30</f>
        <v>0</v>
      </c>
      <c r="C30" s="28" t="s">
        <v>67</v>
      </c>
      <c r="D30" s="53" t="s">
        <v>65</v>
      </c>
      <c r="E30" s="24">
        <f>IF(E29="","",MOD(E29+1,52))</f>
        <v>49</v>
      </c>
      <c r="F30" s="29"/>
      <c r="G30" s="30"/>
      <c r="H30" s="27"/>
      <c r="I30" s="19"/>
    </row>
    <row r="31" spans="1:9" x14ac:dyDescent="0.25">
      <c r="A31" s="131"/>
      <c r="B31" s="132"/>
      <c r="C31" s="62" t="s">
        <v>16</v>
      </c>
      <c r="D31" s="52" t="str">
        <f>D29</f>
        <v>_</v>
      </c>
      <c r="E31" s="24">
        <f>IF(E30="","",MOD(E30+2,52))</f>
        <v>51</v>
      </c>
      <c r="F31" s="29"/>
      <c r="G31" s="30"/>
      <c r="H31" s="27"/>
      <c r="I31" s="19"/>
    </row>
    <row r="32" spans="1:9" x14ac:dyDescent="0.25">
      <c r="A32" s="143"/>
      <c r="B32" s="143">
        <f>A32</f>
        <v>0</v>
      </c>
      <c r="C32" s="80" t="s">
        <v>17</v>
      </c>
      <c r="D32" s="53" t="s">
        <v>65</v>
      </c>
      <c r="E32" s="24">
        <f>IF(E30="","",MOD(E30+2,52))</f>
        <v>51</v>
      </c>
      <c r="F32" s="29"/>
      <c r="G32" s="30"/>
      <c r="H32" s="27"/>
      <c r="I32" s="19"/>
    </row>
    <row r="33" spans="1:9" x14ac:dyDescent="0.25">
      <c r="A33" s="143"/>
      <c r="B33" s="143"/>
      <c r="C33" s="62" t="s">
        <v>140</v>
      </c>
      <c r="D33" s="52" t="s">
        <v>65</v>
      </c>
      <c r="E33" s="24">
        <f>IF(E32="","",MOD(E32+1,52))</f>
        <v>0</v>
      </c>
      <c r="F33" s="29"/>
      <c r="G33" s="30"/>
      <c r="H33" s="27"/>
      <c r="I33" s="19"/>
    </row>
    <row r="34" spans="1:9" x14ac:dyDescent="0.25">
      <c r="A34" s="143"/>
      <c r="B34" s="143">
        <f>A34</f>
        <v>0</v>
      </c>
      <c r="C34" s="28" t="s">
        <v>141</v>
      </c>
      <c r="D34" s="53" t="s">
        <v>65</v>
      </c>
      <c r="E34" s="24">
        <f>IF(E32="","",MOD(E32+1,52))</f>
        <v>0</v>
      </c>
      <c r="F34" s="29"/>
      <c r="G34" s="30"/>
      <c r="H34" s="27"/>
      <c r="I34" s="19"/>
    </row>
    <row r="35" spans="1:9" x14ac:dyDescent="0.25">
      <c r="A35" s="131"/>
      <c r="B35" s="13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143"/>
      <c r="B36" s="143">
        <f>A36</f>
        <v>0</v>
      </c>
      <c r="C36" s="28" t="s">
        <v>19</v>
      </c>
      <c r="D36" s="53" t="s">
        <v>65</v>
      </c>
      <c r="E36" s="24">
        <f>IF(E34="","",MOD(E34+1,52))</f>
        <v>1</v>
      </c>
      <c r="F36" s="29"/>
      <c r="G36" s="30"/>
      <c r="H36" s="27"/>
      <c r="I36" s="19"/>
    </row>
    <row r="37" spans="1:9" x14ac:dyDescent="0.25">
      <c r="A37" s="131"/>
      <c r="B37" s="132"/>
      <c r="C37" s="28" t="s">
        <v>20</v>
      </c>
      <c r="D37" s="52" t="str">
        <f>D30</f>
        <v>_</v>
      </c>
      <c r="E37" s="24">
        <f>IF(E36="","",MOD(E36+1,52))</f>
        <v>2</v>
      </c>
      <c r="F37" s="29"/>
      <c r="G37" s="30"/>
      <c r="H37" s="27"/>
      <c r="I37" s="19"/>
    </row>
    <row r="38" spans="1:9" x14ac:dyDescent="0.25">
      <c r="A38" s="131"/>
      <c r="B38" s="132"/>
      <c r="C38" s="28" t="s">
        <v>21</v>
      </c>
      <c r="D38" s="53" t="str">
        <f>D29</f>
        <v>_</v>
      </c>
      <c r="E38" s="24">
        <f>IF(E37="","",MOD(E37+1,52))</f>
        <v>3</v>
      </c>
      <c r="F38" s="29"/>
      <c r="G38" s="30" t="s">
        <v>9</v>
      </c>
      <c r="H38" s="27"/>
      <c r="I38" s="19"/>
    </row>
    <row r="39" spans="1:9" x14ac:dyDescent="0.25">
      <c r="A39" s="131"/>
      <c r="B39" s="132"/>
      <c r="C39" s="28" t="s">
        <v>22</v>
      </c>
      <c r="D39" s="52" t="str">
        <f>D32</f>
        <v>_</v>
      </c>
      <c r="E39" s="24">
        <f>IF(E37="","",MOD(E37+1,52))</f>
        <v>3</v>
      </c>
      <c r="F39" s="29"/>
      <c r="G39" s="30"/>
      <c r="H39" s="27"/>
      <c r="I39" s="19"/>
    </row>
    <row r="40" spans="1:9" x14ac:dyDescent="0.25">
      <c r="A40" s="131"/>
      <c r="B40" s="132"/>
      <c r="C40" s="28" t="s">
        <v>23</v>
      </c>
      <c r="D40" s="53" t="s">
        <v>64</v>
      </c>
      <c r="E40" s="24">
        <f>E36+4</f>
        <v>5</v>
      </c>
      <c r="F40" s="29"/>
      <c r="G40" s="30" t="s">
        <v>70</v>
      </c>
      <c r="H40" s="27"/>
      <c r="I40" s="19"/>
    </row>
    <row r="41" spans="1:9" x14ac:dyDescent="0.25">
      <c r="A41" s="131"/>
      <c r="B41" s="132"/>
      <c r="C41" s="28" t="s">
        <v>24</v>
      </c>
      <c r="D41" s="52" t="s">
        <v>64</v>
      </c>
      <c r="E41" s="24">
        <f>E39+1</f>
        <v>4</v>
      </c>
      <c r="F41" s="29"/>
      <c r="G41" s="30" t="s">
        <v>70</v>
      </c>
      <c r="H41" s="27"/>
      <c r="I41" s="19"/>
    </row>
    <row r="42" spans="1:9" x14ac:dyDescent="0.25">
      <c r="A42" s="131"/>
      <c r="B42" s="132"/>
      <c r="C42" s="28" t="s">
        <v>25</v>
      </c>
      <c r="D42" s="53" t="str">
        <f>D34</f>
        <v>_</v>
      </c>
      <c r="E42" s="24">
        <f>IF(E40="","",MOD(E40+2,52))</f>
        <v>7</v>
      </c>
      <c r="F42" s="29"/>
      <c r="G42" s="30"/>
      <c r="H42" s="27"/>
      <c r="I42" s="19"/>
    </row>
    <row r="43" spans="1:9" x14ac:dyDescent="0.25">
      <c r="A43" s="143"/>
      <c r="B43" s="143">
        <f>A43</f>
        <v>0</v>
      </c>
      <c r="C43" s="81" t="s">
        <v>147</v>
      </c>
      <c r="D43" s="52" t="s">
        <v>65</v>
      </c>
      <c r="E43" s="82">
        <f>E44</f>
        <v>7</v>
      </c>
      <c r="F43" s="83"/>
      <c r="G43" s="72"/>
      <c r="H43" s="27"/>
      <c r="I43" s="19"/>
    </row>
    <row r="44" spans="1:9" x14ac:dyDescent="0.25">
      <c r="A44" s="143"/>
      <c r="B44" s="143">
        <f>A44</f>
        <v>0</v>
      </c>
      <c r="C44" s="81" t="s">
        <v>139</v>
      </c>
      <c r="D44" s="193" t="s">
        <v>65</v>
      </c>
      <c r="E44" s="82">
        <f>IF(E40="","",MOD(E40+2,52))</f>
        <v>7</v>
      </c>
      <c r="F44" s="83"/>
      <c r="G44" s="72"/>
      <c r="H44" s="194"/>
      <c r="I44" s="19"/>
    </row>
    <row r="45" spans="1:9" x14ac:dyDescent="0.25">
      <c r="A45" s="131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145"/>
      <c r="B46" s="146"/>
      <c r="C46" s="387" t="s">
        <v>146</v>
      </c>
      <c r="D46" s="388"/>
      <c r="E46" s="388"/>
      <c r="F46" s="388"/>
      <c r="G46" s="388"/>
      <c r="H46" s="389"/>
      <c r="I46" s="19"/>
    </row>
    <row r="47" spans="1:9" ht="15.75" thickBot="1" x14ac:dyDescent="0.3">
      <c r="A47" s="131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143"/>
      <c r="B48" s="143">
        <f>A48</f>
        <v>0</v>
      </c>
      <c r="C48" s="88" t="s">
        <v>26</v>
      </c>
      <c r="D48" s="52" t="s">
        <v>65</v>
      </c>
      <c r="E48" s="89">
        <f>E32+1</f>
        <v>52</v>
      </c>
      <c r="F48" s="25"/>
      <c r="G48" s="26"/>
      <c r="H48" s="27"/>
      <c r="I48" s="19"/>
    </row>
    <row r="49" spans="1:9" x14ac:dyDescent="0.25">
      <c r="A49" s="133"/>
      <c r="B49" s="173"/>
      <c r="C49" s="102" t="s">
        <v>69</v>
      </c>
      <c r="D49" s="103" t="s">
        <v>64</v>
      </c>
      <c r="E49" s="104">
        <f>E48</f>
        <v>52</v>
      </c>
      <c r="F49" s="105"/>
      <c r="G49" s="106" t="s">
        <v>70</v>
      </c>
      <c r="H49" s="27"/>
      <c r="I49" s="19"/>
    </row>
    <row r="50" spans="1:9" x14ac:dyDescent="0.25">
      <c r="A50" s="133"/>
      <c r="B50" s="173"/>
      <c r="C50" s="92" t="s">
        <v>61</v>
      </c>
      <c r="D50" s="99" t="s">
        <v>68</v>
      </c>
      <c r="E50" s="101">
        <f>E48+1</f>
        <v>53</v>
      </c>
      <c r="F50" s="95"/>
      <c r="G50" s="96" t="s">
        <v>9</v>
      </c>
      <c r="H50" s="97"/>
      <c r="I50" s="19"/>
    </row>
    <row r="51" spans="1:9" x14ac:dyDescent="0.25">
      <c r="A51" s="133"/>
      <c r="B51" s="173"/>
      <c r="C51" s="91" t="s">
        <v>27</v>
      </c>
      <c r="D51" s="52" t="str">
        <f>D48</f>
        <v>_</v>
      </c>
      <c r="E51" s="90">
        <f>E48+3</f>
        <v>55</v>
      </c>
      <c r="F51" s="29"/>
      <c r="G51" s="72"/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7" t="s">
        <v>142</v>
      </c>
      <c r="I54" s="19"/>
    </row>
    <row r="55" spans="1:9" x14ac:dyDescent="0.25">
      <c r="A55" s="42"/>
      <c r="B55" s="126"/>
      <c r="C55" s="43" t="s">
        <v>122</v>
      </c>
      <c r="D55" s="107"/>
      <c r="E55" s="44"/>
      <c r="F55" s="45"/>
      <c r="G55" s="18"/>
      <c r="H55" s="398"/>
      <c r="I55" s="19"/>
    </row>
    <row r="56" spans="1:9" x14ac:dyDescent="0.25">
      <c r="A56" s="42"/>
      <c r="B56" s="126"/>
      <c r="C56" s="33" t="s">
        <v>123</v>
      </c>
      <c r="D56" s="49"/>
      <c r="E56" s="46"/>
      <c r="F56" s="2"/>
      <c r="G56" s="18"/>
      <c r="H56" s="399" t="str">
        <f>DATEDIF(E3,D58,"m")&amp;"mois"&amp;DATEDIF(E3,D58,"md")&amp;"jours"</f>
        <v>0mois0jours</v>
      </c>
      <c r="I56" s="19"/>
    </row>
    <row r="57" spans="1:9" ht="15.75" thickBot="1" x14ac:dyDescent="0.3">
      <c r="A57" s="42"/>
      <c r="B57" s="126"/>
      <c r="C57" s="33" t="s">
        <v>31</v>
      </c>
      <c r="D57" s="176"/>
      <c r="E57" s="46"/>
      <c r="F57" s="2"/>
      <c r="G57" s="18"/>
      <c r="H57" s="400"/>
      <c r="I57" s="19"/>
    </row>
    <row r="58" spans="1:9" x14ac:dyDescent="0.25">
      <c r="A58" s="42"/>
      <c r="B58" s="126"/>
      <c r="C58" s="47" t="s">
        <v>32</v>
      </c>
      <c r="D58" s="184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1"/>
      <c r="D60" s="371"/>
      <c r="E60" s="371"/>
      <c r="F60" s="371"/>
      <c r="G60" s="371"/>
      <c r="H60" s="371"/>
      <c r="I60" s="372"/>
    </row>
    <row r="61" spans="1:9" x14ac:dyDescent="0.25">
      <c r="A61" s="34"/>
      <c r="B61" s="18"/>
      <c r="C61" s="373"/>
      <c r="D61" s="373"/>
      <c r="E61" s="373"/>
      <c r="F61" s="373"/>
      <c r="G61" s="373"/>
      <c r="H61" s="373"/>
      <c r="I61" s="374"/>
    </row>
    <row r="62" spans="1:9" x14ac:dyDescent="0.25">
      <c r="A62" s="34"/>
      <c r="B62" s="18"/>
      <c r="C62" s="373"/>
      <c r="D62" s="373"/>
      <c r="E62" s="373"/>
      <c r="F62" s="373"/>
      <c r="G62" s="373"/>
      <c r="H62" s="373"/>
      <c r="I62" s="374"/>
    </row>
    <row r="63" spans="1:9" x14ac:dyDescent="0.25">
      <c r="A63" s="34"/>
      <c r="B63" s="18"/>
      <c r="C63" s="373"/>
      <c r="D63" s="373"/>
      <c r="E63" s="373"/>
      <c r="F63" s="373"/>
      <c r="G63" s="373"/>
      <c r="H63" s="373"/>
      <c r="I63" s="374"/>
    </row>
    <row r="64" spans="1:9" x14ac:dyDescent="0.25">
      <c r="A64" s="34"/>
      <c r="B64" s="18"/>
      <c r="C64" s="373"/>
      <c r="D64" s="373"/>
      <c r="E64" s="373"/>
      <c r="F64" s="373"/>
      <c r="G64" s="373"/>
      <c r="H64" s="373"/>
      <c r="I64" s="374"/>
    </row>
    <row r="65" spans="1:9" x14ac:dyDescent="0.25">
      <c r="A65" s="44"/>
      <c r="B65" s="45"/>
      <c r="C65" s="375"/>
      <c r="D65" s="375"/>
      <c r="E65" s="375"/>
      <c r="F65" s="375"/>
      <c r="G65" s="375"/>
      <c r="H65" s="375"/>
      <c r="I65" s="376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A1:G1"/>
    <mergeCell ref="A2:B2"/>
    <mergeCell ref="E2:F2"/>
    <mergeCell ref="H2:I2"/>
    <mergeCell ref="A3:B3"/>
    <mergeCell ref="E3:F3"/>
    <mergeCell ref="H3:I3"/>
    <mergeCell ref="H54:H55"/>
    <mergeCell ref="H56:H57"/>
    <mergeCell ref="C60:I65"/>
    <mergeCell ref="E4:F4"/>
    <mergeCell ref="A5:B5"/>
    <mergeCell ref="A6:B6"/>
    <mergeCell ref="C6:H6"/>
    <mergeCell ref="C27:H27"/>
    <mergeCell ref="C46:H46"/>
  </mergeCells>
  <conditionalFormatting sqref="C52:G52">
    <cfRule type="expression" dxfId="484" priority="70">
      <formula>$F52="réalisé"</formula>
    </cfRule>
  </conditionalFormatting>
  <conditionalFormatting sqref="C48:C51 E48:H51 E29:H45 C8:H26">
    <cfRule type="expression" dxfId="483" priority="67">
      <formula>$G8="réalisé"</formula>
    </cfRule>
    <cfRule type="expression" dxfId="482" priority="68">
      <formula>$G8="en cours"</formula>
    </cfRule>
    <cfRule type="expression" dxfId="481" priority="69">
      <formula>$G8="non compris"</formula>
    </cfRule>
  </conditionalFormatting>
  <conditionalFormatting sqref="C29:C45">
    <cfRule type="expression" dxfId="480" priority="64">
      <formula>$G29="réalisé"</formula>
    </cfRule>
    <cfRule type="expression" dxfId="479" priority="65">
      <formula>$G29="en cours"</formula>
    </cfRule>
    <cfRule type="expression" dxfId="478" priority="66">
      <formula>$G29="non compris"</formula>
    </cfRule>
  </conditionalFormatting>
  <conditionalFormatting sqref="C55:F58">
    <cfRule type="expression" dxfId="477" priority="63">
      <formula>$F55="réalisé"</formula>
    </cfRule>
  </conditionalFormatting>
  <conditionalFormatting sqref="G9">
    <cfRule type="expression" dxfId="476" priority="62">
      <formula>$G$10="réalisé"</formula>
    </cfRule>
  </conditionalFormatting>
  <conditionalFormatting sqref="G10:G14">
    <cfRule type="expression" dxfId="475" priority="61">
      <formula>$G$15="réalisé"</formula>
    </cfRule>
  </conditionalFormatting>
  <conditionalFormatting sqref="G20:G21">
    <cfRule type="expression" dxfId="474" priority="60">
      <formula>$G$22="réalisé"</formula>
    </cfRule>
  </conditionalFormatting>
  <conditionalFormatting sqref="G30">
    <cfRule type="expression" dxfId="473" priority="59">
      <formula>$G$31="réalisé"</formula>
    </cfRule>
  </conditionalFormatting>
  <conditionalFormatting sqref="D29">
    <cfRule type="expression" dxfId="472" priority="56">
      <formula>$G29="réalisé"</formula>
    </cfRule>
    <cfRule type="expression" dxfId="471" priority="57">
      <formula>$G29="en cours"</formula>
    </cfRule>
    <cfRule type="expression" dxfId="470" priority="58">
      <formula>$G29="non compris"</formula>
    </cfRule>
  </conditionalFormatting>
  <conditionalFormatting sqref="D31">
    <cfRule type="expression" dxfId="469" priority="53">
      <formula>$G31="réalisé"</formula>
    </cfRule>
    <cfRule type="expression" dxfId="468" priority="54">
      <formula>$G31="en cours"</formula>
    </cfRule>
    <cfRule type="expression" dxfId="467" priority="55">
      <formula>$G31="non compris"</formula>
    </cfRule>
  </conditionalFormatting>
  <conditionalFormatting sqref="D33">
    <cfRule type="expression" dxfId="466" priority="50">
      <formula>$G33="réalisé"</formula>
    </cfRule>
    <cfRule type="expression" dxfId="465" priority="51">
      <formula>$G33="en cours"</formula>
    </cfRule>
    <cfRule type="expression" dxfId="464" priority="52">
      <formula>$G33="non compris"</formula>
    </cfRule>
  </conditionalFormatting>
  <conditionalFormatting sqref="D35">
    <cfRule type="expression" dxfId="463" priority="47">
      <formula>$G35="réalisé"</formula>
    </cfRule>
    <cfRule type="expression" dxfId="462" priority="48">
      <formula>$G35="en cours"</formula>
    </cfRule>
    <cfRule type="expression" dxfId="461" priority="49">
      <formula>$G35="non compris"</formula>
    </cfRule>
  </conditionalFormatting>
  <conditionalFormatting sqref="D37">
    <cfRule type="expression" dxfId="460" priority="44">
      <formula>$G37="réalisé"</formula>
    </cfRule>
    <cfRule type="expression" dxfId="459" priority="45">
      <formula>$G37="en cours"</formula>
    </cfRule>
    <cfRule type="expression" dxfId="458" priority="46">
      <formula>$G37="non compris"</formula>
    </cfRule>
  </conditionalFormatting>
  <conditionalFormatting sqref="D39">
    <cfRule type="expression" dxfId="457" priority="41">
      <formula>$G39="réalisé"</formula>
    </cfRule>
    <cfRule type="expression" dxfId="456" priority="42">
      <formula>$G39="en cours"</formula>
    </cfRule>
    <cfRule type="expression" dxfId="455" priority="43">
      <formula>$G39="non compris"</formula>
    </cfRule>
  </conditionalFormatting>
  <conditionalFormatting sqref="D41">
    <cfRule type="expression" dxfId="454" priority="38">
      <formula>$G41="réalisé"</formula>
    </cfRule>
    <cfRule type="expression" dxfId="453" priority="39">
      <formula>$G41="en cours"</formula>
    </cfRule>
    <cfRule type="expression" dxfId="452" priority="40">
      <formula>$G41="non compris"</formula>
    </cfRule>
  </conditionalFormatting>
  <conditionalFormatting sqref="D44:D45">
    <cfRule type="expression" dxfId="451" priority="35">
      <formula>$G44="réalisé"</formula>
    </cfRule>
    <cfRule type="expression" dxfId="450" priority="36">
      <formula>$G44="en cours"</formula>
    </cfRule>
    <cfRule type="expression" dxfId="449" priority="37">
      <formula>$G44="non compris"</formula>
    </cfRule>
  </conditionalFormatting>
  <conditionalFormatting sqref="D30">
    <cfRule type="expression" dxfId="448" priority="32">
      <formula>$G30="réalisé"</formula>
    </cfRule>
    <cfRule type="expression" dxfId="447" priority="33">
      <formula>$G30="en cours"</formula>
    </cfRule>
    <cfRule type="expression" dxfId="446" priority="34">
      <formula>$G30="non compris"</formula>
    </cfRule>
  </conditionalFormatting>
  <conditionalFormatting sqref="D32">
    <cfRule type="expression" dxfId="445" priority="29">
      <formula>$G32="réalisé"</formula>
    </cfRule>
    <cfRule type="expression" dxfId="444" priority="30">
      <formula>$G32="en cours"</formula>
    </cfRule>
    <cfRule type="expression" dxfId="443" priority="31">
      <formula>$G32="non compris"</formula>
    </cfRule>
  </conditionalFormatting>
  <conditionalFormatting sqref="D34">
    <cfRule type="expression" dxfId="442" priority="26">
      <formula>$G34="réalisé"</formula>
    </cfRule>
    <cfRule type="expression" dxfId="441" priority="27">
      <formula>$G34="en cours"</formula>
    </cfRule>
    <cfRule type="expression" dxfId="440" priority="28">
      <formula>$G34="non compris"</formula>
    </cfRule>
  </conditionalFormatting>
  <conditionalFormatting sqref="D36">
    <cfRule type="expression" dxfId="439" priority="23">
      <formula>$G36="réalisé"</formula>
    </cfRule>
    <cfRule type="expression" dxfId="438" priority="24">
      <formula>$G36="en cours"</formula>
    </cfRule>
    <cfRule type="expression" dxfId="437" priority="25">
      <formula>$G36="non compris"</formula>
    </cfRule>
  </conditionalFormatting>
  <conditionalFormatting sqref="D38">
    <cfRule type="expression" dxfId="436" priority="20">
      <formula>$G38="réalisé"</formula>
    </cfRule>
    <cfRule type="expression" dxfId="435" priority="21">
      <formula>$G38="en cours"</formula>
    </cfRule>
    <cfRule type="expression" dxfId="434" priority="22">
      <formula>$G38="non compris"</formula>
    </cfRule>
  </conditionalFormatting>
  <conditionalFormatting sqref="D40">
    <cfRule type="expression" dxfId="433" priority="17">
      <formula>$G40="réalisé"</formula>
    </cfRule>
    <cfRule type="expression" dxfId="432" priority="18">
      <formula>$G40="en cours"</formula>
    </cfRule>
    <cfRule type="expression" dxfId="431" priority="19">
      <formula>$G40="non compris"</formula>
    </cfRule>
  </conditionalFormatting>
  <conditionalFormatting sqref="D42:D43">
    <cfRule type="expression" dxfId="430" priority="14">
      <formula>$G42="réalisé"</formula>
    </cfRule>
    <cfRule type="expression" dxfId="429" priority="15">
      <formula>$G42="en cours"</formula>
    </cfRule>
    <cfRule type="expression" dxfId="428" priority="16">
      <formula>$G42="non compris"</formula>
    </cfRule>
  </conditionalFormatting>
  <conditionalFormatting sqref="D50">
    <cfRule type="expression" dxfId="427" priority="11">
      <formula>$G50="réalisé"</formula>
    </cfRule>
    <cfRule type="expression" dxfId="426" priority="12">
      <formula>$G50="en cours"</formula>
    </cfRule>
    <cfRule type="expression" dxfId="425" priority="13">
      <formula>$G50="non compris"</formula>
    </cfRule>
  </conditionalFormatting>
  <conditionalFormatting sqref="D49">
    <cfRule type="expression" dxfId="424" priority="8">
      <formula>$G49="réalisé"</formula>
    </cfRule>
    <cfRule type="expression" dxfId="423" priority="9">
      <formula>$G49="en cours"</formula>
    </cfRule>
    <cfRule type="expression" dxfId="422" priority="10">
      <formula>$G49="non compris"</formula>
    </cfRule>
  </conditionalFormatting>
  <conditionalFormatting sqref="D48">
    <cfRule type="expression" dxfId="421" priority="5">
      <formula>$G48="réalisé"</formula>
    </cfRule>
    <cfRule type="expression" dxfId="420" priority="6">
      <formula>$G48="en cours"</formula>
    </cfRule>
    <cfRule type="expression" dxfId="419" priority="7">
      <formula>$G48="non compris"</formula>
    </cfRule>
  </conditionalFormatting>
  <conditionalFormatting sqref="D51">
    <cfRule type="expression" dxfId="418" priority="2">
      <formula>$G51="réalisé"</formula>
    </cfRule>
    <cfRule type="expression" dxfId="417" priority="3">
      <formula>$G51="en cours"</formula>
    </cfRule>
    <cfRule type="expression" dxfId="416" priority="4">
      <formula>$G51="non compris"</formula>
    </cfRule>
  </conditionalFormatting>
  <conditionalFormatting sqref="D8:D26">
    <cfRule type="expression" dxfId="415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tabColor rgb="FF00B050"/>
    <pageSetUpPr fitToPage="1"/>
  </sheetPr>
  <dimension ref="A1:K74"/>
  <sheetViews>
    <sheetView topLeftCell="A16" zoomScaleNormal="100" workbookViewId="0">
      <selection activeCell="G36" sqref="G36"/>
    </sheetView>
  </sheetViews>
  <sheetFormatPr baseColWidth="10" defaultRowHeight="15" x14ac:dyDescent="0.25"/>
  <cols>
    <col min="1" max="1" width="11.85546875" customWidth="1"/>
    <col min="2" max="2" width="12.28515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11" ht="21" x14ac:dyDescent="0.35">
      <c r="A1" s="377" t="s">
        <v>0</v>
      </c>
      <c r="B1" s="378"/>
      <c r="C1" s="378"/>
      <c r="D1" s="378"/>
      <c r="E1" s="378"/>
      <c r="F1" s="378"/>
      <c r="G1" s="378"/>
      <c r="H1" s="1" t="s">
        <v>1</v>
      </c>
      <c r="I1" s="3">
        <f ca="1">INT(MOD(INT((LISTE!D1-2)/7)+0.6,52+5/28))+1</f>
        <v>41</v>
      </c>
    </row>
    <row r="2" spans="1:11" x14ac:dyDescent="0.25">
      <c r="A2" s="390" t="s">
        <v>2</v>
      </c>
      <c r="B2" s="391"/>
      <c r="C2" s="70" t="str">
        <f ca="1">MID(CELL("nomfichier",A1),FIND("]",CELL("nomfichier",A1),1)+1,30)</f>
        <v>WETZEL</v>
      </c>
      <c r="D2" s="4" t="s">
        <v>72</v>
      </c>
      <c r="E2" s="379">
        <v>43070</v>
      </c>
      <c r="F2" s="379"/>
      <c r="G2" s="5"/>
      <c r="H2" s="380" t="s">
        <v>143</v>
      </c>
      <c r="I2" s="381"/>
    </row>
    <row r="3" spans="1:11" ht="15.75" x14ac:dyDescent="0.25">
      <c r="A3" s="392" t="s">
        <v>106</v>
      </c>
      <c r="B3" s="384"/>
      <c r="C3" s="6" t="s">
        <v>165</v>
      </c>
      <c r="D3" s="7" t="s">
        <v>3</v>
      </c>
      <c r="E3" s="382">
        <v>43115</v>
      </c>
      <c r="F3" s="383"/>
      <c r="G3" s="8"/>
      <c r="H3" s="384" t="str">
        <f ca="1">DATEDIF(E3,TODAY(),"m")&amp;"mois"&amp;-DATEDIF(E3,TODAY(),"md")&amp;"jours"</f>
        <v>8mois-27jours</v>
      </c>
      <c r="I3" s="385"/>
    </row>
    <row r="4" spans="1:11" ht="18.75" x14ac:dyDescent="0.25">
      <c r="A4" s="69" t="s">
        <v>117</v>
      </c>
      <c r="B4" s="129"/>
      <c r="C4" s="9" t="s">
        <v>121</v>
      </c>
      <c r="D4" s="10" t="s">
        <v>4</v>
      </c>
      <c r="E4" s="386">
        <f>E3+60</f>
        <v>43175</v>
      </c>
      <c r="F4" s="386"/>
      <c r="G4" s="11"/>
      <c r="H4" s="12"/>
      <c r="I4" s="13"/>
    </row>
    <row r="5" spans="1:11" x14ac:dyDescent="0.25">
      <c r="A5" s="393" t="s">
        <v>76</v>
      </c>
      <c r="B5" s="394"/>
      <c r="C5" s="15"/>
      <c r="D5" s="16"/>
      <c r="E5" s="15"/>
      <c r="F5" s="15"/>
      <c r="G5" s="17"/>
      <c r="H5" s="18"/>
      <c r="I5" s="19"/>
    </row>
    <row r="6" spans="1:11" ht="18.75" x14ac:dyDescent="0.3">
      <c r="A6" s="395" t="s">
        <v>75</v>
      </c>
      <c r="B6" s="408"/>
      <c r="C6" s="387" t="s">
        <v>145</v>
      </c>
      <c r="D6" s="388"/>
      <c r="E6" s="388"/>
      <c r="F6" s="388"/>
      <c r="G6" s="388"/>
      <c r="H6" s="389"/>
      <c r="I6" s="19"/>
    </row>
    <row r="7" spans="1:11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11" x14ac:dyDescent="0.25">
      <c r="A8" s="303"/>
      <c r="B8" s="287"/>
      <c r="C8" s="28" t="s">
        <v>124</v>
      </c>
      <c r="D8" s="98" t="s">
        <v>114</v>
      </c>
      <c r="E8" s="180">
        <v>10</v>
      </c>
      <c r="F8" s="25"/>
      <c r="G8" s="26" t="s">
        <v>36</v>
      </c>
      <c r="H8" s="27"/>
      <c r="I8" s="19"/>
      <c r="K8" t="s">
        <v>9</v>
      </c>
    </row>
    <row r="9" spans="1:11" x14ac:dyDescent="0.25">
      <c r="A9" s="303"/>
      <c r="B9" s="288"/>
      <c r="C9" s="28" t="s">
        <v>131</v>
      </c>
      <c r="D9" s="100" t="str">
        <f>D8</f>
        <v>DEBÈS CONSTRUCTION</v>
      </c>
      <c r="E9" s="181">
        <v>14</v>
      </c>
      <c r="F9" s="29"/>
      <c r="G9" s="30" t="s">
        <v>36</v>
      </c>
      <c r="H9" s="27"/>
      <c r="I9" s="19"/>
    </row>
    <row r="10" spans="1:11" ht="15" customHeight="1" x14ac:dyDescent="0.25">
      <c r="A10" s="304"/>
      <c r="B10" s="289"/>
      <c r="C10" s="28" t="s">
        <v>132</v>
      </c>
      <c r="D10" s="98" t="str">
        <f>D9</f>
        <v>DEBÈS CONSTRUCTION</v>
      </c>
      <c r="E10" s="180">
        <v>17</v>
      </c>
      <c r="F10" s="31"/>
      <c r="G10" s="30" t="s">
        <v>36</v>
      </c>
      <c r="H10" s="27"/>
      <c r="I10" s="19"/>
    </row>
    <row r="11" spans="1:11" ht="15" customHeight="1" x14ac:dyDescent="0.25">
      <c r="A11" s="304"/>
      <c r="B11" s="290"/>
      <c r="C11" s="28" t="s">
        <v>133</v>
      </c>
      <c r="D11" s="155" t="str">
        <f>D8</f>
        <v>DEBÈS CONSTRUCTION</v>
      </c>
      <c r="E11" s="180">
        <f>E10+1</f>
        <v>18</v>
      </c>
      <c r="F11" s="31"/>
      <c r="G11" s="30" t="s">
        <v>36</v>
      </c>
      <c r="H11" s="27"/>
      <c r="I11" s="19"/>
    </row>
    <row r="12" spans="1:11" ht="15" customHeight="1" x14ac:dyDescent="0.25">
      <c r="A12" s="305">
        <v>16284.8</v>
      </c>
      <c r="B12" s="311">
        <f>A12-16284.8</f>
        <v>0</v>
      </c>
      <c r="C12" s="28" t="s">
        <v>134</v>
      </c>
      <c r="D12" s="155" t="str">
        <f t="shared" ref="D12:D14" si="0">D9</f>
        <v>DEBÈS CONSTRUCTION</v>
      </c>
      <c r="E12" s="180">
        <v>21</v>
      </c>
      <c r="F12" s="31"/>
      <c r="G12" s="30" t="s">
        <v>36</v>
      </c>
      <c r="H12" s="27"/>
      <c r="I12" s="19"/>
    </row>
    <row r="13" spans="1:11" ht="15" customHeight="1" x14ac:dyDescent="0.25">
      <c r="A13" s="304"/>
      <c r="B13" s="316"/>
      <c r="C13" s="28" t="s">
        <v>135</v>
      </c>
      <c r="D13" s="155" t="str">
        <f t="shared" si="0"/>
        <v>DEBÈS CONSTRUCTION</v>
      </c>
      <c r="E13" s="180">
        <f>E12+1</f>
        <v>22</v>
      </c>
      <c r="F13" s="31"/>
      <c r="G13" s="30" t="s">
        <v>36</v>
      </c>
      <c r="H13" s="27"/>
      <c r="I13" s="19"/>
    </row>
    <row r="14" spans="1:11" ht="15" customHeight="1" x14ac:dyDescent="0.25">
      <c r="A14" s="304"/>
      <c r="B14" s="316"/>
      <c r="C14" s="28" t="s">
        <v>136</v>
      </c>
      <c r="D14" s="155" t="str">
        <f t="shared" si="0"/>
        <v>DEBÈS CONSTRUCTION</v>
      </c>
      <c r="E14" s="180">
        <f>E13</f>
        <v>22</v>
      </c>
      <c r="F14" s="31"/>
      <c r="G14" s="30" t="s">
        <v>36</v>
      </c>
      <c r="H14" s="27"/>
      <c r="I14" s="19"/>
    </row>
    <row r="15" spans="1:11" x14ac:dyDescent="0.25">
      <c r="A15" s="304"/>
      <c r="B15" s="316"/>
      <c r="C15" s="28" t="s">
        <v>62</v>
      </c>
      <c r="D15" s="100" t="s">
        <v>64</v>
      </c>
      <c r="E15" s="24">
        <f>E10+4</f>
        <v>21</v>
      </c>
      <c r="F15" s="29"/>
      <c r="G15" s="30" t="s">
        <v>70</v>
      </c>
      <c r="H15" s="27"/>
      <c r="I15" s="19"/>
    </row>
    <row r="16" spans="1:11" x14ac:dyDescent="0.25">
      <c r="A16" s="304"/>
      <c r="B16" s="316"/>
      <c r="C16" s="28" t="s">
        <v>10</v>
      </c>
      <c r="D16" s="98" t="s">
        <v>64</v>
      </c>
      <c r="E16" s="24">
        <f>E10+1</f>
        <v>18</v>
      </c>
      <c r="F16" s="29"/>
      <c r="G16" s="30" t="s">
        <v>70</v>
      </c>
      <c r="H16" s="27"/>
      <c r="I16" s="19"/>
    </row>
    <row r="17" spans="1:9" x14ac:dyDescent="0.25">
      <c r="A17" s="304"/>
      <c r="B17" s="316"/>
      <c r="C17" s="28" t="s">
        <v>11</v>
      </c>
      <c r="D17" s="100" t="s">
        <v>114</v>
      </c>
      <c r="E17" s="24">
        <v>23</v>
      </c>
      <c r="F17" s="29"/>
      <c r="G17" s="30" t="s">
        <v>36</v>
      </c>
      <c r="H17" s="27"/>
      <c r="I17" s="19"/>
    </row>
    <row r="18" spans="1:9" x14ac:dyDescent="0.25">
      <c r="A18" s="305">
        <v>1861.73</v>
      </c>
      <c r="B18" s="311">
        <f>A18-1861.73</f>
        <v>0</v>
      </c>
      <c r="C18" s="28" t="s">
        <v>12</v>
      </c>
      <c r="D18" s="98" t="s">
        <v>41</v>
      </c>
      <c r="E18" s="180">
        <v>25</v>
      </c>
      <c r="F18" s="29"/>
      <c r="G18" s="30" t="s">
        <v>36</v>
      </c>
      <c r="H18" s="27"/>
      <c r="I18" s="19"/>
    </row>
    <row r="19" spans="1:9" x14ac:dyDescent="0.25">
      <c r="A19" s="304"/>
      <c r="B19" s="316"/>
      <c r="C19" s="28" t="s">
        <v>73</v>
      </c>
      <c r="D19" s="100" t="str">
        <f>D10</f>
        <v>DEBÈS CONSTRUCTION</v>
      </c>
      <c r="E19" s="24">
        <f>IF(E18="","",MOD(E18+1,52))</f>
        <v>26</v>
      </c>
      <c r="F19" s="29"/>
      <c r="G19" s="30" t="s">
        <v>70</v>
      </c>
      <c r="H19" s="27"/>
      <c r="I19" s="19"/>
    </row>
    <row r="20" spans="1:9" x14ac:dyDescent="0.25">
      <c r="A20" s="301">
        <v>1245.6199999999999</v>
      </c>
      <c r="B20" s="311">
        <f>A20-1245.62</f>
        <v>0</v>
      </c>
      <c r="C20" s="28" t="s">
        <v>59</v>
      </c>
      <c r="D20" s="98" t="s">
        <v>41</v>
      </c>
      <c r="E20" s="24">
        <f>IF(E19="","",MOD(E19+1,52))</f>
        <v>27</v>
      </c>
      <c r="F20" s="29"/>
      <c r="G20" s="30" t="s">
        <v>36</v>
      </c>
      <c r="H20" s="27"/>
      <c r="I20" s="19"/>
    </row>
    <row r="21" spans="1:9" x14ac:dyDescent="0.25">
      <c r="A21" s="301">
        <v>346.39</v>
      </c>
      <c r="B21" s="311">
        <f>A21-346.39</f>
        <v>0</v>
      </c>
      <c r="C21" s="28" t="s">
        <v>60</v>
      </c>
      <c r="D21" s="155" t="s">
        <v>44</v>
      </c>
      <c r="E21" s="24">
        <f>E20</f>
        <v>27</v>
      </c>
      <c r="F21" s="29"/>
      <c r="G21" s="30" t="s">
        <v>36</v>
      </c>
      <c r="H21" s="50"/>
      <c r="I21" s="19"/>
    </row>
    <row r="22" spans="1:9" x14ac:dyDescent="0.25">
      <c r="A22" s="304"/>
      <c r="B22" s="316"/>
      <c r="C22" s="185" t="s">
        <v>13</v>
      </c>
      <c r="D22" s="226" t="s">
        <v>68</v>
      </c>
      <c r="E22" s="187">
        <f>E20</f>
        <v>27</v>
      </c>
      <c r="F22" s="188"/>
      <c r="G22" s="189" t="s">
        <v>9</v>
      </c>
      <c r="H22" s="190"/>
      <c r="I22" s="19"/>
    </row>
    <row r="23" spans="1:9" x14ac:dyDescent="0.25">
      <c r="A23" s="291"/>
      <c r="B23" s="291">
        <f>A23</f>
        <v>0</v>
      </c>
      <c r="C23" s="32" t="s">
        <v>138</v>
      </c>
      <c r="D23" s="98" t="s">
        <v>64</v>
      </c>
      <c r="E23" s="24">
        <f>IF(E20="","",MOD(E20+2,52))</f>
        <v>29</v>
      </c>
      <c r="F23" s="29"/>
      <c r="G23" s="30" t="s">
        <v>70</v>
      </c>
      <c r="H23" s="27"/>
      <c r="I23" s="19"/>
    </row>
    <row r="24" spans="1:9" x14ac:dyDescent="0.25">
      <c r="A24" s="304"/>
      <c r="B24" s="290"/>
      <c r="C24" s="28" t="s">
        <v>14</v>
      </c>
      <c r="D24" s="100" t="str">
        <f>D17</f>
        <v>DEBÈS CONSTRUCTION</v>
      </c>
      <c r="E24" s="24">
        <f>IF(E20="","",MOD(E20+2,52))</f>
        <v>29</v>
      </c>
      <c r="F24" s="29"/>
      <c r="G24" s="30" t="s">
        <v>36</v>
      </c>
      <c r="H24" s="27"/>
      <c r="I24" s="19"/>
    </row>
    <row r="25" spans="1:9" x14ac:dyDescent="0.25">
      <c r="A25" s="291"/>
      <c r="B25" s="291">
        <f>A25</f>
        <v>0</v>
      </c>
      <c r="C25" s="183" t="s">
        <v>137</v>
      </c>
      <c r="D25" s="100" t="s">
        <v>64</v>
      </c>
      <c r="E25" s="24">
        <f>E23</f>
        <v>29</v>
      </c>
      <c r="F25" s="29"/>
      <c r="G25" s="72" t="s">
        <v>70</v>
      </c>
      <c r="H25" s="27"/>
      <c r="I25" s="19"/>
    </row>
    <row r="26" spans="1:9" x14ac:dyDescent="0.25">
      <c r="A26" s="304"/>
      <c r="B26" s="290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308"/>
      <c r="B27" s="292"/>
      <c r="C27" s="387" t="s">
        <v>144</v>
      </c>
      <c r="D27" s="388"/>
      <c r="E27" s="388"/>
      <c r="F27" s="388"/>
      <c r="G27" s="388"/>
      <c r="H27" s="389"/>
      <c r="I27" s="19"/>
    </row>
    <row r="28" spans="1:9" ht="15.75" thickBot="1" x14ac:dyDescent="0.3">
      <c r="A28" s="304"/>
      <c r="B28" s="290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291"/>
      <c r="B29" s="291">
        <f>A29</f>
        <v>0</v>
      </c>
      <c r="C29" s="78" t="s">
        <v>66</v>
      </c>
      <c r="D29" s="52" t="s">
        <v>64</v>
      </c>
      <c r="E29" s="79">
        <f>IF(E24="","",MOD(E24+1,52))</f>
        <v>30</v>
      </c>
      <c r="F29" s="25"/>
      <c r="G29" s="26" t="s">
        <v>70</v>
      </c>
      <c r="H29" s="27"/>
      <c r="I29" s="19"/>
    </row>
    <row r="30" spans="1:9" x14ac:dyDescent="0.25">
      <c r="A30" s="305">
        <v>2122.9299999999998</v>
      </c>
      <c r="B30" s="291">
        <f>A30-2122.93</f>
        <v>0</v>
      </c>
      <c r="C30" s="28" t="s">
        <v>67</v>
      </c>
      <c r="D30" s="53" t="s">
        <v>47</v>
      </c>
      <c r="E30" s="24">
        <v>36</v>
      </c>
      <c r="F30" s="29"/>
      <c r="G30" s="30" t="s">
        <v>36</v>
      </c>
      <c r="H30" s="27"/>
      <c r="I30" s="19"/>
    </row>
    <row r="31" spans="1:9" x14ac:dyDescent="0.25">
      <c r="A31" s="304"/>
      <c r="B31" s="290"/>
      <c r="C31" s="62" t="s">
        <v>16</v>
      </c>
      <c r="D31" s="52" t="str">
        <f>D29</f>
        <v>A CHARGE CLIENT</v>
      </c>
      <c r="E31" s="24">
        <f>IF(E30="","",MOD(E30+2,52))</f>
        <v>38</v>
      </c>
      <c r="F31" s="29"/>
      <c r="G31" s="30" t="s">
        <v>70</v>
      </c>
      <c r="H31" s="27"/>
      <c r="I31" s="19"/>
    </row>
    <row r="32" spans="1:9" x14ac:dyDescent="0.25">
      <c r="A32" s="305">
        <v>1018.28</v>
      </c>
      <c r="B32" s="291">
        <f>A32</f>
        <v>1018.28</v>
      </c>
      <c r="C32" s="80" t="s">
        <v>17</v>
      </c>
      <c r="D32" s="53" t="s">
        <v>128</v>
      </c>
      <c r="E32" s="24">
        <v>38</v>
      </c>
      <c r="F32" s="29"/>
      <c r="G32" s="30" t="s">
        <v>36</v>
      </c>
      <c r="H32" s="27"/>
      <c r="I32" s="19"/>
    </row>
    <row r="33" spans="1:9" x14ac:dyDescent="0.25">
      <c r="A33" s="291"/>
      <c r="B33" s="291"/>
      <c r="C33" s="62" t="s">
        <v>140</v>
      </c>
      <c r="D33" s="52" t="s">
        <v>167</v>
      </c>
      <c r="E33" s="24">
        <f>IF(E32="","",MOD(E32+1,52))</f>
        <v>39</v>
      </c>
      <c r="F33" s="29"/>
      <c r="G33" s="30" t="s">
        <v>36</v>
      </c>
      <c r="H33" s="27"/>
      <c r="I33" s="19"/>
    </row>
    <row r="34" spans="1:9" x14ac:dyDescent="0.25">
      <c r="A34" s="305">
        <v>1800</v>
      </c>
      <c r="B34" s="291">
        <f>A34</f>
        <v>1800</v>
      </c>
      <c r="C34" s="28" t="s">
        <v>141</v>
      </c>
      <c r="D34" s="53" t="s">
        <v>167</v>
      </c>
      <c r="E34" s="24">
        <f>IF(E32="","",MOD(E32+1,52))</f>
        <v>39</v>
      </c>
      <c r="F34" s="29"/>
      <c r="G34" s="30" t="s">
        <v>36</v>
      </c>
      <c r="H34" s="27"/>
      <c r="I34" s="19"/>
    </row>
    <row r="35" spans="1:9" x14ac:dyDescent="0.25">
      <c r="A35" s="304"/>
      <c r="B35" s="290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311"/>
      <c r="B36" s="291">
        <f>A36</f>
        <v>0</v>
      </c>
      <c r="C36" s="28" t="s">
        <v>19</v>
      </c>
      <c r="D36" s="53" t="s">
        <v>53</v>
      </c>
      <c r="E36" s="24">
        <v>41</v>
      </c>
      <c r="F36" s="29"/>
      <c r="G36" s="30" t="s">
        <v>36</v>
      </c>
      <c r="H36" s="27"/>
      <c r="I36" s="19"/>
    </row>
    <row r="37" spans="1:9" x14ac:dyDescent="0.25">
      <c r="A37" s="304"/>
      <c r="B37" s="290"/>
      <c r="C37" s="28" t="s">
        <v>20</v>
      </c>
      <c r="D37" s="52" t="str">
        <f>D30</f>
        <v>SOARES</v>
      </c>
      <c r="E37" s="24">
        <f>IF(E36="","",MOD(E36+1,52))</f>
        <v>42</v>
      </c>
      <c r="F37" s="29"/>
      <c r="G37" s="30"/>
      <c r="H37" s="27"/>
      <c r="I37" s="19"/>
    </row>
    <row r="38" spans="1:9" x14ac:dyDescent="0.25">
      <c r="A38" s="304"/>
      <c r="B38" s="290"/>
      <c r="C38" s="28" t="s">
        <v>21</v>
      </c>
      <c r="D38" s="53" t="str">
        <f>D29</f>
        <v>A CHARGE CLIENT</v>
      </c>
      <c r="E38" s="24">
        <f>IF(E37="","",MOD(E37+1,52))</f>
        <v>43</v>
      </c>
      <c r="F38" s="29"/>
      <c r="G38" s="30" t="s">
        <v>9</v>
      </c>
      <c r="H38" s="27"/>
      <c r="I38" s="19"/>
    </row>
    <row r="39" spans="1:9" x14ac:dyDescent="0.25">
      <c r="A39" s="304"/>
      <c r="B39" s="290"/>
      <c r="C39" s="28" t="s">
        <v>22</v>
      </c>
      <c r="D39" s="52" t="str">
        <f>D32</f>
        <v>MEYER</v>
      </c>
      <c r="E39" s="24">
        <f>IF(E37="","",MOD(E37+1,52))</f>
        <v>43</v>
      </c>
      <c r="F39" s="29"/>
      <c r="G39" s="30"/>
      <c r="H39" s="27"/>
      <c r="I39" s="19"/>
    </row>
    <row r="40" spans="1:9" x14ac:dyDescent="0.25">
      <c r="A40" s="307">
        <v>445.58</v>
      </c>
      <c r="B40" s="290">
        <f>A40</f>
        <v>445.58</v>
      </c>
      <c r="C40" s="28" t="s">
        <v>23</v>
      </c>
      <c r="D40" s="53" t="s">
        <v>53</v>
      </c>
      <c r="E40" s="24">
        <f>E36+4</f>
        <v>45</v>
      </c>
      <c r="F40" s="29"/>
      <c r="G40" s="30" t="s">
        <v>9</v>
      </c>
      <c r="H40" s="27"/>
      <c r="I40" s="19"/>
    </row>
    <row r="41" spans="1:9" x14ac:dyDescent="0.25">
      <c r="A41" s="304"/>
      <c r="B41" s="290"/>
      <c r="C41" s="28" t="s">
        <v>24</v>
      </c>
      <c r="D41" s="52" t="s">
        <v>64</v>
      </c>
      <c r="E41" s="24">
        <f>E39+1</f>
        <v>44</v>
      </c>
      <c r="F41" s="29"/>
      <c r="G41" s="30" t="s">
        <v>70</v>
      </c>
      <c r="H41" s="27"/>
      <c r="I41" s="19"/>
    </row>
    <row r="42" spans="1:9" x14ac:dyDescent="0.25">
      <c r="A42" s="304"/>
      <c r="B42" s="290"/>
      <c r="C42" s="28" t="s">
        <v>25</v>
      </c>
      <c r="D42" s="53" t="str">
        <f>D34</f>
        <v>OTEC</v>
      </c>
      <c r="E42" s="24">
        <f>IF(E40="","",MOD(E40+2,52))</f>
        <v>47</v>
      </c>
      <c r="F42" s="29"/>
      <c r="G42" s="30"/>
      <c r="H42" s="27"/>
      <c r="I42" s="19"/>
    </row>
    <row r="43" spans="1:9" x14ac:dyDescent="0.25">
      <c r="A43" s="291"/>
      <c r="B43" s="291">
        <f>A43</f>
        <v>0</v>
      </c>
      <c r="C43" s="81" t="s">
        <v>147</v>
      </c>
      <c r="D43" s="52" t="s">
        <v>64</v>
      </c>
      <c r="E43" s="82">
        <f>E44</f>
        <v>47</v>
      </c>
      <c r="F43" s="83"/>
      <c r="G43" s="72" t="s">
        <v>70</v>
      </c>
      <c r="H43" s="27"/>
      <c r="I43" s="19"/>
    </row>
    <row r="44" spans="1:9" x14ac:dyDescent="0.25">
      <c r="A44" s="311"/>
      <c r="B44" s="291">
        <f>A44</f>
        <v>0</v>
      </c>
      <c r="C44" s="81" t="s">
        <v>139</v>
      </c>
      <c r="D44" s="193" t="s">
        <v>54</v>
      </c>
      <c r="E44" s="82">
        <f>IF(E40="","",MOD(E40+2,52))</f>
        <v>47</v>
      </c>
      <c r="F44" s="83"/>
      <c r="G44" s="72"/>
      <c r="H44" s="194"/>
      <c r="I44" s="19"/>
    </row>
    <row r="45" spans="1:9" x14ac:dyDescent="0.25">
      <c r="A45" s="304"/>
      <c r="B45" s="290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308"/>
      <c r="B46" s="292"/>
      <c r="C46" s="387" t="s">
        <v>146</v>
      </c>
      <c r="D46" s="388"/>
      <c r="E46" s="388"/>
      <c r="F46" s="388"/>
      <c r="G46" s="388"/>
      <c r="H46" s="389"/>
      <c r="I46" s="19"/>
    </row>
    <row r="47" spans="1:9" ht="15.75" thickBot="1" x14ac:dyDescent="0.3">
      <c r="A47" s="304"/>
      <c r="B47" s="293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291"/>
      <c r="B48" s="291">
        <f>A48</f>
        <v>0</v>
      </c>
      <c r="C48" s="88" t="s">
        <v>26</v>
      </c>
      <c r="D48" s="52" t="s">
        <v>57</v>
      </c>
      <c r="E48" s="89">
        <f>E32+1</f>
        <v>39</v>
      </c>
      <c r="F48" s="25"/>
      <c r="G48" s="26"/>
      <c r="H48" s="27"/>
      <c r="I48" s="19"/>
    </row>
    <row r="49" spans="1:9" x14ac:dyDescent="0.25">
      <c r="A49" s="309"/>
      <c r="B49" s="294"/>
      <c r="C49" s="102" t="s">
        <v>69</v>
      </c>
      <c r="D49" s="103" t="s">
        <v>64</v>
      </c>
      <c r="E49" s="104">
        <f>E48</f>
        <v>39</v>
      </c>
      <c r="F49" s="105"/>
      <c r="G49" s="106" t="s">
        <v>70</v>
      </c>
      <c r="H49" s="27"/>
      <c r="I49" s="19"/>
    </row>
    <row r="50" spans="1:9" x14ac:dyDescent="0.25">
      <c r="A50" s="309"/>
      <c r="B50" s="294"/>
      <c r="C50" s="92" t="s">
        <v>61</v>
      </c>
      <c r="D50" s="99" t="s">
        <v>68</v>
      </c>
      <c r="E50" s="101">
        <f>E48+1</f>
        <v>40</v>
      </c>
      <c r="F50" s="95"/>
      <c r="G50" s="96" t="s">
        <v>9</v>
      </c>
      <c r="H50" s="97"/>
      <c r="I50" s="19"/>
    </row>
    <row r="51" spans="1:9" x14ac:dyDescent="0.25">
      <c r="A51" s="309">
        <f>SUM(A8:A50)</f>
        <v>25125.329999999998</v>
      </c>
      <c r="B51" s="309">
        <f>SUM(B8:B50)</f>
        <v>3263.8599999999997</v>
      </c>
      <c r="C51" s="91" t="s">
        <v>27</v>
      </c>
      <c r="D51" s="52" t="s">
        <v>64</v>
      </c>
      <c r="E51" s="90">
        <f>E48+3</f>
        <v>42</v>
      </c>
      <c r="F51" s="29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7" t="s">
        <v>142</v>
      </c>
      <c r="I54" s="19"/>
    </row>
    <row r="55" spans="1:9" x14ac:dyDescent="0.25">
      <c r="A55" s="42"/>
      <c r="B55" s="126"/>
      <c r="C55" s="43" t="s">
        <v>122</v>
      </c>
      <c r="D55" s="107">
        <v>43073</v>
      </c>
      <c r="E55" s="44"/>
      <c r="F55" s="45" t="s">
        <v>109</v>
      </c>
      <c r="G55" s="18"/>
      <c r="H55" s="398"/>
      <c r="I55" s="19"/>
    </row>
    <row r="56" spans="1:9" x14ac:dyDescent="0.25">
      <c r="A56" s="42"/>
      <c r="B56" s="126"/>
      <c r="C56" s="33" t="s">
        <v>123</v>
      </c>
      <c r="D56" s="49">
        <v>43111</v>
      </c>
      <c r="E56" s="46"/>
      <c r="F56" s="2" t="s">
        <v>109</v>
      </c>
      <c r="G56" s="18"/>
      <c r="H56" s="399" t="str">
        <f>DATEDIF(E3,D58,"m")&amp;"mois"&amp;DATEDIF(E3,D58,"md")&amp;"jours"</f>
        <v>4mois27jours</v>
      </c>
      <c r="I56" s="19"/>
    </row>
    <row r="57" spans="1:9" ht="15.75" thickBot="1" x14ac:dyDescent="0.3">
      <c r="A57" s="42"/>
      <c r="B57" s="126"/>
      <c r="C57" s="33" t="s">
        <v>31</v>
      </c>
      <c r="D57" s="49">
        <v>43168</v>
      </c>
      <c r="E57" s="46" t="s">
        <v>166</v>
      </c>
      <c r="F57" s="2"/>
      <c r="G57" s="18"/>
      <c r="H57" s="400"/>
      <c r="I57" s="19"/>
    </row>
    <row r="58" spans="1:9" x14ac:dyDescent="0.25">
      <c r="A58" s="42"/>
      <c r="B58" s="126"/>
      <c r="C58" s="47" t="s">
        <v>32</v>
      </c>
      <c r="D58" s="184">
        <v>43262</v>
      </c>
      <c r="E58" s="14" t="s">
        <v>166</v>
      </c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1"/>
      <c r="D60" s="371"/>
      <c r="E60" s="371"/>
      <c r="F60" s="371"/>
      <c r="G60" s="371"/>
      <c r="H60" s="371"/>
      <c r="I60" s="372"/>
    </row>
    <row r="61" spans="1:9" x14ac:dyDescent="0.25">
      <c r="A61" s="34"/>
      <c r="B61" s="18"/>
      <c r="C61" s="373"/>
      <c r="D61" s="373"/>
      <c r="E61" s="373"/>
      <c r="F61" s="373"/>
      <c r="G61" s="373"/>
      <c r="H61" s="373"/>
      <c r="I61" s="374"/>
    </row>
    <row r="62" spans="1:9" x14ac:dyDescent="0.25">
      <c r="A62" s="34"/>
      <c r="B62" s="18"/>
      <c r="C62" s="373"/>
      <c r="D62" s="373"/>
      <c r="E62" s="373"/>
      <c r="F62" s="373"/>
      <c r="G62" s="373"/>
      <c r="H62" s="373"/>
      <c r="I62" s="374"/>
    </row>
    <row r="63" spans="1:9" x14ac:dyDescent="0.25">
      <c r="A63" s="34"/>
      <c r="B63" s="18"/>
      <c r="C63" s="373"/>
      <c r="D63" s="373"/>
      <c r="E63" s="373"/>
      <c r="F63" s="373"/>
      <c r="G63" s="373"/>
      <c r="H63" s="373"/>
      <c r="I63" s="374"/>
    </row>
    <row r="64" spans="1:9" x14ac:dyDescent="0.25">
      <c r="A64" s="34"/>
      <c r="B64" s="18"/>
      <c r="C64" s="373"/>
      <c r="D64" s="373"/>
      <c r="E64" s="373"/>
      <c r="F64" s="373"/>
      <c r="G64" s="373"/>
      <c r="H64" s="373"/>
      <c r="I64" s="374"/>
    </row>
    <row r="65" spans="1:9" x14ac:dyDescent="0.25">
      <c r="A65" s="44"/>
      <c r="B65" s="45"/>
      <c r="C65" s="375"/>
      <c r="D65" s="375"/>
      <c r="E65" s="375"/>
      <c r="F65" s="375"/>
      <c r="G65" s="375"/>
      <c r="H65" s="375"/>
      <c r="I65" s="376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A1:G1"/>
    <mergeCell ref="A2:B2"/>
    <mergeCell ref="E2:F2"/>
    <mergeCell ref="H2:I2"/>
    <mergeCell ref="A3:B3"/>
    <mergeCell ref="E3:F3"/>
    <mergeCell ref="H3:I3"/>
    <mergeCell ref="H54:H55"/>
    <mergeCell ref="H56:H57"/>
    <mergeCell ref="C60:I65"/>
    <mergeCell ref="E4:F4"/>
    <mergeCell ref="A5:B5"/>
    <mergeCell ref="A6:B6"/>
    <mergeCell ref="C6:H6"/>
    <mergeCell ref="C27:H27"/>
    <mergeCell ref="C46:H46"/>
  </mergeCells>
  <conditionalFormatting sqref="C52:G52">
    <cfRule type="expression" dxfId="372" priority="70">
      <formula>$F52="réalisé"</formula>
    </cfRule>
  </conditionalFormatting>
  <conditionalFormatting sqref="C48:C51 E48:H51 E29:H45 C8:H26">
    <cfRule type="expression" dxfId="371" priority="67">
      <formula>$G8="réalisé"</formula>
    </cfRule>
    <cfRule type="expression" dxfId="370" priority="68">
      <formula>$G8="en cours"</formula>
    </cfRule>
    <cfRule type="expression" dxfId="369" priority="69">
      <formula>$G8="non compris"</formula>
    </cfRule>
  </conditionalFormatting>
  <conditionalFormatting sqref="C29:C45">
    <cfRule type="expression" dxfId="368" priority="64">
      <formula>$G29="réalisé"</formula>
    </cfRule>
    <cfRule type="expression" dxfId="367" priority="65">
      <formula>$G29="en cours"</formula>
    </cfRule>
    <cfRule type="expression" dxfId="366" priority="66">
      <formula>$G29="non compris"</formula>
    </cfRule>
  </conditionalFormatting>
  <conditionalFormatting sqref="C55:F58">
    <cfRule type="expression" dxfId="365" priority="63">
      <formula>$F55="réalisé"</formula>
    </cfRule>
  </conditionalFormatting>
  <conditionalFormatting sqref="G9">
    <cfRule type="expression" dxfId="364" priority="62">
      <formula>$G$10="réalisé"</formula>
    </cfRule>
  </conditionalFormatting>
  <conditionalFormatting sqref="G10:G14">
    <cfRule type="expression" dxfId="363" priority="61">
      <formula>$G$15="réalisé"</formula>
    </cfRule>
  </conditionalFormatting>
  <conditionalFormatting sqref="G20:G21">
    <cfRule type="expression" dxfId="362" priority="60">
      <formula>$G$22="réalisé"</formula>
    </cfRule>
  </conditionalFormatting>
  <conditionalFormatting sqref="G30">
    <cfRule type="expression" dxfId="361" priority="59">
      <formula>$G$31="réalisé"</formula>
    </cfRule>
  </conditionalFormatting>
  <conditionalFormatting sqref="D29">
    <cfRule type="expression" dxfId="360" priority="56">
      <formula>$G29="réalisé"</formula>
    </cfRule>
    <cfRule type="expression" dxfId="359" priority="57">
      <formula>$G29="en cours"</formula>
    </cfRule>
    <cfRule type="expression" dxfId="358" priority="58">
      <formula>$G29="non compris"</formula>
    </cfRule>
  </conditionalFormatting>
  <conditionalFormatting sqref="D31">
    <cfRule type="expression" dxfId="357" priority="53">
      <formula>$G31="réalisé"</formula>
    </cfRule>
    <cfRule type="expression" dxfId="356" priority="54">
      <formula>$G31="en cours"</formula>
    </cfRule>
    <cfRule type="expression" dxfId="355" priority="55">
      <formula>$G31="non compris"</formula>
    </cfRule>
  </conditionalFormatting>
  <conditionalFormatting sqref="D33">
    <cfRule type="expression" dxfId="354" priority="50">
      <formula>$G33="réalisé"</formula>
    </cfRule>
    <cfRule type="expression" dxfId="353" priority="51">
      <formula>$G33="en cours"</formula>
    </cfRule>
    <cfRule type="expression" dxfId="352" priority="52">
      <formula>$G33="non compris"</formula>
    </cfRule>
  </conditionalFormatting>
  <conditionalFormatting sqref="D35">
    <cfRule type="expression" dxfId="351" priority="47">
      <formula>$G35="réalisé"</formula>
    </cfRule>
    <cfRule type="expression" dxfId="350" priority="48">
      <formula>$G35="en cours"</formula>
    </cfRule>
    <cfRule type="expression" dxfId="349" priority="49">
      <formula>$G35="non compris"</formula>
    </cfRule>
  </conditionalFormatting>
  <conditionalFormatting sqref="D37">
    <cfRule type="expression" dxfId="348" priority="44">
      <formula>$G37="réalisé"</formula>
    </cfRule>
    <cfRule type="expression" dxfId="347" priority="45">
      <formula>$G37="en cours"</formula>
    </cfRule>
    <cfRule type="expression" dxfId="346" priority="46">
      <formula>$G37="non compris"</formula>
    </cfRule>
  </conditionalFormatting>
  <conditionalFormatting sqref="D39">
    <cfRule type="expression" dxfId="345" priority="41">
      <formula>$G39="réalisé"</formula>
    </cfRule>
    <cfRule type="expression" dxfId="344" priority="42">
      <formula>$G39="en cours"</formula>
    </cfRule>
    <cfRule type="expression" dxfId="343" priority="43">
      <formula>$G39="non compris"</formula>
    </cfRule>
  </conditionalFormatting>
  <conditionalFormatting sqref="D41">
    <cfRule type="expression" dxfId="342" priority="38">
      <formula>$G41="réalisé"</formula>
    </cfRule>
    <cfRule type="expression" dxfId="341" priority="39">
      <formula>$G41="en cours"</formula>
    </cfRule>
    <cfRule type="expression" dxfId="340" priority="40">
      <formula>$G41="non compris"</formula>
    </cfRule>
  </conditionalFormatting>
  <conditionalFormatting sqref="D44:D45">
    <cfRule type="expression" dxfId="339" priority="35">
      <formula>$G44="réalisé"</formula>
    </cfRule>
    <cfRule type="expression" dxfId="338" priority="36">
      <formula>$G44="en cours"</formula>
    </cfRule>
    <cfRule type="expression" dxfId="337" priority="37">
      <formula>$G44="non compris"</formula>
    </cfRule>
  </conditionalFormatting>
  <conditionalFormatting sqref="D30">
    <cfRule type="expression" dxfId="336" priority="32">
      <formula>$G30="réalisé"</formula>
    </cfRule>
    <cfRule type="expression" dxfId="335" priority="33">
      <formula>$G30="en cours"</formula>
    </cfRule>
    <cfRule type="expression" dxfId="334" priority="34">
      <formula>$G30="non compris"</formula>
    </cfRule>
  </conditionalFormatting>
  <conditionalFormatting sqref="D32">
    <cfRule type="expression" dxfId="333" priority="29">
      <formula>$G32="réalisé"</formula>
    </cfRule>
    <cfRule type="expression" dxfId="332" priority="30">
      <formula>$G32="en cours"</formula>
    </cfRule>
    <cfRule type="expression" dxfId="331" priority="31">
      <formula>$G32="non compris"</formula>
    </cfRule>
  </conditionalFormatting>
  <conditionalFormatting sqref="D34">
    <cfRule type="expression" dxfId="330" priority="26">
      <formula>$G34="réalisé"</formula>
    </cfRule>
    <cfRule type="expression" dxfId="329" priority="27">
      <formula>$G34="en cours"</formula>
    </cfRule>
    <cfRule type="expression" dxfId="328" priority="28">
      <formula>$G34="non compris"</formula>
    </cfRule>
  </conditionalFormatting>
  <conditionalFormatting sqref="D36">
    <cfRule type="expression" dxfId="327" priority="23">
      <formula>$G36="réalisé"</formula>
    </cfRule>
    <cfRule type="expression" dxfId="326" priority="24">
      <formula>$G36="en cours"</formula>
    </cfRule>
    <cfRule type="expression" dxfId="325" priority="25">
      <formula>$G36="non compris"</formula>
    </cfRule>
  </conditionalFormatting>
  <conditionalFormatting sqref="D38">
    <cfRule type="expression" dxfId="324" priority="20">
      <formula>$G38="réalisé"</formula>
    </cfRule>
    <cfRule type="expression" dxfId="323" priority="21">
      <formula>$G38="en cours"</formula>
    </cfRule>
    <cfRule type="expression" dxfId="322" priority="22">
      <formula>$G38="non compris"</formula>
    </cfRule>
  </conditionalFormatting>
  <conditionalFormatting sqref="D40">
    <cfRule type="expression" dxfId="321" priority="17">
      <formula>$G40="réalisé"</formula>
    </cfRule>
    <cfRule type="expression" dxfId="320" priority="18">
      <formula>$G40="en cours"</formula>
    </cfRule>
    <cfRule type="expression" dxfId="319" priority="19">
      <formula>$G40="non compris"</formula>
    </cfRule>
  </conditionalFormatting>
  <conditionalFormatting sqref="D42:D43">
    <cfRule type="expression" dxfId="318" priority="14">
      <formula>$G42="réalisé"</formula>
    </cfRule>
    <cfRule type="expression" dxfId="317" priority="15">
      <formula>$G42="en cours"</formula>
    </cfRule>
    <cfRule type="expression" dxfId="316" priority="16">
      <formula>$G42="non compris"</formula>
    </cfRule>
  </conditionalFormatting>
  <conditionalFormatting sqref="D50">
    <cfRule type="expression" dxfId="315" priority="11">
      <formula>$G50="réalisé"</formula>
    </cfRule>
    <cfRule type="expression" dxfId="314" priority="12">
      <formula>$G50="en cours"</formula>
    </cfRule>
    <cfRule type="expression" dxfId="313" priority="13">
      <formula>$G50="non compris"</formula>
    </cfRule>
  </conditionalFormatting>
  <conditionalFormatting sqref="D49">
    <cfRule type="expression" dxfId="312" priority="8">
      <formula>$G49="réalisé"</formula>
    </cfRule>
    <cfRule type="expression" dxfId="311" priority="9">
      <formula>$G49="en cours"</formula>
    </cfRule>
    <cfRule type="expression" dxfId="310" priority="10">
      <formula>$G49="non compris"</formula>
    </cfRule>
  </conditionalFormatting>
  <conditionalFormatting sqref="D48">
    <cfRule type="expression" dxfId="309" priority="5">
      <formula>$G48="réalisé"</formula>
    </cfRule>
    <cfRule type="expression" dxfId="308" priority="6">
      <formula>$G48="en cours"</formula>
    </cfRule>
    <cfRule type="expression" dxfId="307" priority="7">
      <formula>$G48="non compris"</formula>
    </cfRule>
  </conditionalFormatting>
  <conditionalFormatting sqref="D51">
    <cfRule type="expression" dxfId="306" priority="2">
      <formula>$G51="réalisé"</formula>
    </cfRule>
    <cfRule type="expression" dxfId="305" priority="3">
      <formula>$G51="en cours"</formula>
    </cfRule>
    <cfRule type="expression" dxfId="304" priority="4">
      <formula>$G51="non compris"</formula>
    </cfRule>
  </conditionalFormatting>
  <conditionalFormatting sqref="D8:D26">
    <cfRule type="expression" dxfId="303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78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tabColor rgb="FF00B050"/>
    <pageSetUpPr fitToPage="1"/>
  </sheetPr>
  <dimension ref="A1:I74"/>
  <sheetViews>
    <sheetView topLeftCell="A16" zoomScaleNormal="100" workbookViewId="0">
      <selection activeCell="E25" sqref="E25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7" t="s">
        <v>0</v>
      </c>
      <c r="B1" s="378"/>
      <c r="C1" s="378"/>
      <c r="D1" s="378"/>
      <c r="E1" s="378"/>
      <c r="F1" s="378"/>
      <c r="G1" s="378"/>
      <c r="H1" s="1" t="s">
        <v>1</v>
      </c>
      <c r="I1" s="3">
        <f ca="1">INT(MOD(INT((LISTE!D1-2)/7)+0.6,52+5/28))+1</f>
        <v>41</v>
      </c>
    </row>
    <row r="2" spans="1:9" x14ac:dyDescent="0.25">
      <c r="A2" s="390" t="s">
        <v>2</v>
      </c>
      <c r="B2" s="391"/>
      <c r="C2" s="70" t="str">
        <f ca="1">MID(CELL("nomfichier",A1),FIND("]",CELL("nomfichier",A1),1)+1,30)</f>
        <v>WOOCK-HISLER</v>
      </c>
      <c r="D2" s="4" t="s">
        <v>72</v>
      </c>
      <c r="E2" s="379">
        <v>42971</v>
      </c>
      <c r="F2" s="379"/>
      <c r="G2" s="5"/>
      <c r="H2" s="380" t="s">
        <v>143</v>
      </c>
      <c r="I2" s="381"/>
    </row>
    <row r="3" spans="1:9" ht="15.75" x14ac:dyDescent="0.25">
      <c r="A3" s="392" t="s">
        <v>106</v>
      </c>
      <c r="B3" s="384"/>
      <c r="C3" s="6" t="s">
        <v>155</v>
      </c>
      <c r="D3" s="7" t="s">
        <v>3</v>
      </c>
      <c r="E3" s="382">
        <v>43063</v>
      </c>
      <c r="F3" s="383"/>
      <c r="G3" s="8"/>
      <c r="H3" s="384" t="str">
        <f ca="1">DATEDIF(E3,TODAY(),"m")&amp;"mois"&amp;-DATEDIF(E3,TODAY(),"md")&amp;"jours"</f>
        <v>10mois-18jours</v>
      </c>
      <c r="I3" s="385"/>
    </row>
    <row r="4" spans="1:9" ht="18.75" x14ac:dyDescent="0.25">
      <c r="A4" s="69" t="s">
        <v>117</v>
      </c>
      <c r="B4" s="129"/>
      <c r="C4" s="9" t="s">
        <v>121</v>
      </c>
      <c r="D4" s="10" t="s">
        <v>4</v>
      </c>
      <c r="E4" s="386">
        <f>E3+60</f>
        <v>43123</v>
      </c>
      <c r="F4" s="386"/>
      <c r="G4" s="11"/>
      <c r="H4" s="12"/>
      <c r="I4" s="13"/>
    </row>
    <row r="5" spans="1:9" x14ac:dyDescent="0.25">
      <c r="A5" s="393" t="s">
        <v>76</v>
      </c>
      <c r="B5" s="394"/>
      <c r="C5" s="15"/>
      <c r="D5" s="16"/>
      <c r="E5" s="15"/>
      <c r="F5" s="15"/>
      <c r="G5" s="17"/>
      <c r="H5" s="18"/>
      <c r="I5" s="19"/>
    </row>
    <row r="6" spans="1:9" ht="18.75" x14ac:dyDescent="0.3">
      <c r="A6" s="395" t="s">
        <v>75</v>
      </c>
      <c r="B6" s="396"/>
      <c r="C6" s="387" t="s">
        <v>145</v>
      </c>
      <c r="D6" s="388"/>
      <c r="E6" s="388"/>
      <c r="F6" s="388"/>
      <c r="G6" s="388"/>
      <c r="H6" s="389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22"/>
      <c r="B8" s="200"/>
      <c r="C8" s="28" t="s">
        <v>124</v>
      </c>
      <c r="D8" s="52" t="s">
        <v>38</v>
      </c>
      <c r="E8" s="180">
        <v>47</v>
      </c>
      <c r="F8" s="25"/>
      <c r="G8" s="26" t="s">
        <v>36</v>
      </c>
      <c r="H8" s="27" t="s">
        <v>154</v>
      </c>
      <c r="I8" s="19"/>
    </row>
    <row r="9" spans="1:9" x14ac:dyDescent="0.25">
      <c r="A9" s="122"/>
      <c r="B9" s="130"/>
      <c r="C9" s="28" t="s">
        <v>131</v>
      </c>
      <c r="D9" s="53" t="str">
        <f>D8</f>
        <v>TEMA</v>
      </c>
      <c r="E9" s="181">
        <f>E8+1</f>
        <v>48</v>
      </c>
      <c r="F9" s="29"/>
      <c r="G9" s="30" t="s">
        <v>36</v>
      </c>
      <c r="H9" s="27"/>
      <c r="I9" s="19"/>
    </row>
    <row r="10" spans="1:9" ht="15" customHeight="1" x14ac:dyDescent="0.25">
      <c r="A10" s="131"/>
      <c r="B10" s="182"/>
      <c r="C10" s="28" t="s">
        <v>132</v>
      </c>
      <c r="D10" s="52" t="str">
        <f>D9</f>
        <v>TEMA</v>
      </c>
      <c r="E10" s="180">
        <f>E9</f>
        <v>48</v>
      </c>
      <c r="F10" s="31"/>
      <c r="G10" s="30" t="s">
        <v>36</v>
      </c>
      <c r="H10" s="27"/>
      <c r="I10" s="19"/>
    </row>
    <row r="11" spans="1:9" ht="15" customHeight="1" x14ac:dyDescent="0.25">
      <c r="A11" s="131"/>
      <c r="B11" s="132"/>
      <c r="C11" s="28" t="s">
        <v>133</v>
      </c>
      <c r="D11" s="54" t="str">
        <f>D8</f>
        <v>TEMA</v>
      </c>
      <c r="E11" s="180">
        <f>E10+1</f>
        <v>49</v>
      </c>
      <c r="F11" s="31"/>
      <c r="G11" s="30" t="s">
        <v>36</v>
      </c>
      <c r="H11" s="27"/>
      <c r="I11" s="19"/>
    </row>
    <row r="12" spans="1:9" ht="15" customHeight="1" x14ac:dyDescent="0.25">
      <c r="A12" s="144">
        <v>11003.68</v>
      </c>
      <c r="B12" s="143">
        <f>A12-9169.73-1833.95</f>
        <v>0</v>
      </c>
      <c r="C12" s="28" t="s">
        <v>134</v>
      </c>
      <c r="D12" s="54" t="str">
        <f t="shared" ref="D12:D14" si="0">D9</f>
        <v>TEMA</v>
      </c>
      <c r="E12" s="180">
        <f>E11+2</f>
        <v>51</v>
      </c>
      <c r="F12" s="31"/>
      <c r="G12" s="30" t="s">
        <v>36</v>
      </c>
      <c r="H12" s="27"/>
      <c r="I12" s="19"/>
    </row>
    <row r="13" spans="1:9" ht="15" customHeight="1" x14ac:dyDescent="0.25">
      <c r="A13" s="131"/>
      <c r="B13" s="132"/>
      <c r="C13" s="28" t="s">
        <v>135</v>
      </c>
      <c r="D13" s="54" t="str">
        <f t="shared" si="0"/>
        <v>TEMA</v>
      </c>
      <c r="E13" s="180">
        <f>E12+1</f>
        <v>52</v>
      </c>
      <c r="F13" s="31"/>
      <c r="G13" s="30" t="s">
        <v>36</v>
      </c>
      <c r="H13" s="27"/>
      <c r="I13" s="19"/>
    </row>
    <row r="14" spans="1:9" ht="15" customHeight="1" x14ac:dyDescent="0.25">
      <c r="A14" s="131"/>
      <c r="B14" s="132"/>
      <c r="C14" s="28" t="s">
        <v>136</v>
      </c>
      <c r="D14" s="54" t="str">
        <f t="shared" si="0"/>
        <v>TEMA</v>
      </c>
      <c r="E14" s="180">
        <v>6</v>
      </c>
      <c r="F14" s="31"/>
      <c r="G14" s="30" t="s">
        <v>36</v>
      </c>
      <c r="H14" s="27"/>
      <c r="I14" s="19"/>
    </row>
    <row r="15" spans="1:9" x14ac:dyDescent="0.25">
      <c r="A15" s="131"/>
      <c r="B15" s="132"/>
      <c r="C15" s="28" t="s">
        <v>62</v>
      </c>
      <c r="D15" s="53" t="s">
        <v>64</v>
      </c>
      <c r="E15" s="24">
        <f>E10+4</f>
        <v>52</v>
      </c>
      <c r="F15" s="29"/>
      <c r="G15" s="30" t="s">
        <v>70</v>
      </c>
      <c r="H15" s="27"/>
      <c r="I15" s="19"/>
    </row>
    <row r="16" spans="1:9" x14ac:dyDescent="0.25">
      <c r="A16" s="131"/>
      <c r="B16" s="132"/>
      <c r="C16" s="28" t="s">
        <v>10</v>
      </c>
      <c r="D16" s="52" t="s">
        <v>64</v>
      </c>
      <c r="E16" s="24">
        <f>E10+1</f>
        <v>49</v>
      </c>
      <c r="F16" s="29"/>
      <c r="G16" s="30" t="s">
        <v>70</v>
      </c>
      <c r="H16" s="27"/>
      <c r="I16" s="19"/>
    </row>
    <row r="17" spans="1:9" x14ac:dyDescent="0.25">
      <c r="A17" s="131"/>
      <c r="B17" s="132"/>
      <c r="C17" s="28" t="s">
        <v>11</v>
      </c>
      <c r="D17" s="53" t="s">
        <v>38</v>
      </c>
      <c r="E17" s="24">
        <v>2</v>
      </c>
      <c r="F17" s="29"/>
      <c r="G17" s="30" t="s">
        <v>36</v>
      </c>
      <c r="H17" s="27"/>
      <c r="I17" s="19"/>
    </row>
    <row r="18" spans="1:9" x14ac:dyDescent="0.25">
      <c r="A18" s="144">
        <v>537.95000000000005</v>
      </c>
      <c r="B18" s="143">
        <f>A18-537.95</f>
        <v>0</v>
      </c>
      <c r="C18" s="28" t="s">
        <v>12</v>
      </c>
      <c r="D18" s="52" t="s">
        <v>40</v>
      </c>
      <c r="E18" s="180">
        <v>2</v>
      </c>
      <c r="F18" s="29"/>
      <c r="G18" s="30" t="s">
        <v>36</v>
      </c>
      <c r="H18" s="27"/>
      <c r="I18" s="19"/>
    </row>
    <row r="19" spans="1:9" x14ac:dyDescent="0.25">
      <c r="A19" s="131"/>
      <c r="B19" s="132"/>
      <c r="C19" s="28" t="s">
        <v>73</v>
      </c>
      <c r="D19" s="53" t="str">
        <f>D10</f>
        <v>TEMA</v>
      </c>
      <c r="E19" s="24">
        <f>IF(E18="","",MOD(E18+1,52))</f>
        <v>3</v>
      </c>
      <c r="F19" s="29"/>
      <c r="G19" s="30" t="s">
        <v>36</v>
      </c>
      <c r="H19" s="27"/>
      <c r="I19" s="19"/>
    </row>
    <row r="20" spans="1:9" x14ac:dyDescent="0.25">
      <c r="A20" s="149">
        <v>937.8</v>
      </c>
      <c r="B20" s="409">
        <f>A20+A21-1180.57</f>
        <v>0</v>
      </c>
      <c r="C20" s="28" t="s">
        <v>59</v>
      </c>
      <c r="D20" s="52" t="s">
        <v>42</v>
      </c>
      <c r="E20" s="24">
        <v>3</v>
      </c>
      <c r="F20" s="29"/>
      <c r="G20" s="30" t="s">
        <v>36</v>
      </c>
      <c r="H20" s="27"/>
      <c r="I20" s="19"/>
    </row>
    <row r="21" spans="1:9" x14ac:dyDescent="0.25">
      <c r="A21" s="149">
        <v>242.77</v>
      </c>
      <c r="B21" s="410"/>
      <c r="C21" s="28" t="s">
        <v>60</v>
      </c>
      <c r="D21" s="54" t="s">
        <v>42</v>
      </c>
      <c r="E21" s="24">
        <f>E20</f>
        <v>3</v>
      </c>
      <c r="F21" s="29"/>
      <c r="G21" s="30" t="s">
        <v>36</v>
      </c>
      <c r="H21" s="50"/>
      <c r="I21" s="19"/>
    </row>
    <row r="22" spans="1:9" x14ac:dyDescent="0.25">
      <c r="A22" s="131"/>
      <c r="B22" s="132"/>
      <c r="C22" s="202" t="s">
        <v>13</v>
      </c>
      <c r="D22" s="203" t="s">
        <v>68</v>
      </c>
      <c r="E22" s="187">
        <f>E20</f>
        <v>3</v>
      </c>
      <c r="F22" s="188"/>
      <c r="G22" s="189" t="s">
        <v>9</v>
      </c>
      <c r="H22" s="190"/>
      <c r="I22" s="19"/>
    </row>
    <row r="23" spans="1:9" x14ac:dyDescent="0.25">
      <c r="A23" s="144">
        <v>1737.22</v>
      </c>
      <c r="B23" s="143">
        <f>A23-1737.22</f>
        <v>0</v>
      </c>
      <c r="C23" s="32" t="s">
        <v>138</v>
      </c>
      <c r="D23" s="52" t="s">
        <v>45</v>
      </c>
      <c r="E23" s="24">
        <v>5</v>
      </c>
      <c r="F23" s="29"/>
      <c r="G23" s="30" t="s">
        <v>36</v>
      </c>
      <c r="H23" s="27"/>
      <c r="I23" s="19"/>
    </row>
    <row r="24" spans="1:9" x14ac:dyDescent="0.25">
      <c r="A24" s="131"/>
      <c r="B24" s="132"/>
      <c r="C24" s="28" t="s">
        <v>14</v>
      </c>
      <c r="D24" s="53" t="str">
        <f>D17</f>
        <v>TEMA</v>
      </c>
      <c r="E24" s="24">
        <v>7</v>
      </c>
      <c r="F24" s="29"/>
      <c r="G24" s="30" t="s">
        <v>36</v>
      </c>
      <c r="H24" s="27"/>
      <c r="I24" s="19"/>
    </row>
    <row r="25" spans="1:9" x14ac:dyDescent="0.25">
      <c r="A25" s="144"/>
      <c r="B25" s="143">
        <f>A25</f>
        <v>0</v>
      </c>
      <c r="C25" s="183" t="s">
        <v>137</v>
      </c>
      <c r="D25" s="53" t="s">
        <v>55</v>
      </c>
      <c r="E25" s="24">
        <v>12</v>
      </c>
      <c r="F25" s="29"/>
      <c r="G25" s="72" t="s">
        <v>36</v>
      </c>
      <c r="H25" s="27"/>
      <c r="I25" s="19"/>
    </row>
    <row r="26" spans="1:9" x14ac:dyDescent="0.25">
      <c r="A26" s="131"/>
      <c r="B26" s="132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145"/>
      <c r="B27" s="146"/>
      <c r="C27" s="387" t="s">
        <v>144</v>
      </c>
      <c r="D27" s="388"/>
      <c r="E27" s="388"/>
      <c r="F27" s="388"/>
      <c r="G27" s="388"/>
      <c r="H27" s="389"/>
      <c r="I27" s="19"/>
    </row>
    <row r="28" spans="1:9" ht="15.75" thickBot="1" x14ac:dyDescent="0.3">
      <c r="A28" s="131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44">
        <v>1366.13</v>
      </c>
      <c r="B29" s="143">
        <f>A29-1366.13</f>
        <v>0</v>
      </c>
      <c r="C29" s="78" t="s">
        <v>66</v>
      </c>
      <c r="D29" s="52" t="s">
        <v>90</v>
      </c>
      <c r="E29" s="79">
        <f>IF(E24="","",MOD(E24+1,52))</f>
        <v>8</v>
      </c>
      <c r="F29" s="25"/>
      <c r="G29" s="26" t="s">
        <v>36</v>
      </c>
      <c r="H29" s="27"/>
      <c r="I29" s="19"/>
    </row>
    <row r="30" spans="1:9" x14ac:dyDescent="0.25">
      <c r="A30" s="144">
        <v>2107.56</v>
      </c>
      <c r="B30" s="143">
        <f>A30-2107.56</f>
        <v>0</v>
      </c>
      <c r="C30" s="28" t="s">
        <v>67</v>
      </c>
      <c r="D30" s="53" t="s">
        <v>47</v>
      </c>
      <c r="E30" s="24">
        <f>IF(E29="","",MOD(E29+1,52))</f>
        <v>9</v>
      </c>
      <c r="F30" s="29"/>
      <c r="G30" s="30" t="s">
        <v>36</v>
      </c>
      <c r="H30" s="27"/>
      <c r="I30" s="19"/>
    </row>
    <row r="31" spans="1:9" x14ac:dyDescent="0.25">
      <c r="A31" s="131"/>
      <c r="B31" s="132"/>
      <c r="C31" s="62" t="s">
        <v>16</v>
      </c>
      <c r="D31" s="52" t="str">
        <f>D29</f>
        <v>ELECTRO HECKER</v>
      </c>
      <c r="E31" s="24">
        <f>IF(E30="","",MOD(E30+2,52))</f>
        <v>11</v>
      </c>
      <c r="F31" s="29"/>
      <c r="G31" s="30" t="s">
        <v>36</v>
      </c>
      <c r="H31" s="27"/>
      <c r="I31" s="19"/>
    </row>
    <row r="32" spans="1:9" x14ac:dyDescent="0.25">
      <c r="A32" s="143"/>
      <c r="B32" s="143">
        <f>A32</f>
        <v>0</v>
      </c>
      <c r="C32" s="80" t="s">
        <v>17</v>
      </c>
      <c r="D32" s="53" t="s">
        <v>64</v>
      </c>
      <c r="E32" s="24">
        <v>14</v>
      </c>
      <c r="F32" s="29"/>
      <c r="G32" s="30" t="s">
        <v>70</v>
      </c>
      <c r="H32" s="27"/>
      <c r="I32" s="19"/>
    </row>
    <row r="33" spans="1:9" x14ac:dyDescent="0.25">
      <c r="A33" s="143"/>
      <c r="B33" s="143"/>
      <c r="C33" s="62" t="s">
        <v>140</v>
      </c>
      <c r="D33" s="52" t="s">
        <v>64</v>
      </c>
      <c r="E33" s="24">
        <f>IF(E32="","",MOD(E32+1,52))</f>
        <v>15</v>
      </c>
      <c r="F33" s="29"/>
      <c r="G33" s="30" t="s">
        <v>70</v>
      </c>
      <c r="H33" s="27"/>
      <c r="I33" s="19"/>
    </row>
    <row r="34" spans="1:9" x14ac:dyDescent="0.25">
      <c r="A34" s="143"/>
      <c r="B34" s="143">
        <f>A34</f>
        <v>0</v>
      </c>
      <c r="C34" s="28" t="s">
        <v>141</v>
      </c>
      <c r="D34" s="53" t="s">
        <v>64</v>
      </c>
      <c r="E34" s="24">
        <f>IF(E32="","",MOD(E32+1,52))</f>
        <v>15</v>
      </c>
      <c r="F34" s="29"/>
      <c r="G34" s="30" t="s">
        <v>70</v>
      </c>
      <c r="H34" s="27"/>
      <c r="I34" s="19"/>
    </row>
    <row r="35" spans="1:9" x14ac:dyDescent="0.25">
      <c r="A35" s="131"/>
      <c r="B35" s="13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257"/>
      <c r="B36" s="143">
        <f>A36</f>
        <v>0</v>
      </c>
      <c r="C36" s="28" t="s">
        <v>19</v>
      </c>
      <c r="D36" s="53" t="s">
        <v>206</v>
      </c>
      <c r="E36" s="24">
        <v>23</v>
      </c>
      <c r="F36" s="29"/>
      <c r="G36" s="30" t="s">
        <v>36</v>
      </c>
      <c r="H36" s="27"/>
      <c r="I36" s="19"/>
    </row>
    <row r="37" spans="1:9" x14ac:dyDescent="0.25">
      <c r="A37" s="131"/>
      <c r="B37" s="132"/>
      <c r="C37" s="28" t="s">
        <v>20</v>
      </c>
      <c r="D37" s="52" t="str">
        <f>D30</f>
        <v>SOARES</v>
      </c>
      <c r="E37" s="24">
        <v>25</v>
      </c>
      <c r="F37" s="29"/>
      <c r="G37" s="30" t="s">
        <v>36</v>
      </c>
      <c r="H37" s="27"/>
      <c r="I37" s="19"/>
    </row>
    <row r="38" spans="1:9" x14ac:dyDescent="0.25">
      <c r="A38" s="131"/>
      <c r="B38" s="132"/>
      <c r="C38" s="28" t="s">
        <v>21</v>
      </c>
      <c r="D38" s="53" t="str">
        <f>D29</f>
        <v>ELECTRO HECKER</v>
      </c>
      <c r="E38" s="24">
        <f>IF(E37="","",MOD(E37+1,52))</f>
        <v>26</v>
      </c>
      <c r="F38" s="29"/>
      <c r="G38" s="30" t="s">
        <v>36</v>
      </c>
      <c r="H38" s="27"/>
      <c r="I38" s="19"/>
    </row>
    <row r="39" spans="1:9" x14ac:dyDescent="0.25">
      <c r="A39" s="131"/>
      <c r="B39" s="132"/>
      <c r="C39" s="28" t="s">
        <v>22</v>
      </c>
      <c r="D39" s="52" t="str">
        <f>D32</f>
        <v>A CHARGE CLIENT</v>
      </c>
      <c r="E39" s="24">
        <f>IF(E37="","",MOD(E37+1,52))</f>
        <v>26</v>
      </c>
      <c r="F39" s="29"/>
      <c r="G39" s="30" t="s">
        <v>70</v>
      </c>
      <c r="H39" s="27"/>
      <c r="I39" s="19"/>
    </row>
    <row r="40" spans="1:9" x14ac:dyDescent="0.25">
      <c r="A40" s="131"/>
      <c r="B40" s="132"/>
      <c r="C40" s="28" t="s">
        <v>23</v>
      </c>
      <c r="D40" s="53" t="s">
        <v>64</v>
      </c>
      <c r="E40" s="24">
        <f>E36+4</f>
        <v>27</v>
      </c>
      <c r="F40" s="29"/>
      <c r="G40" s="30" t="s">
        <v>70</v>
      </c>
      <c r="H40" s="27"/>
      <c r="I40" s="19"/>
    </row>
    <row r="41" spans="1:9" x14ac:dyDescent="0.25">
      <c r="A41" s="131"/>
      <c r="B41" s="132"/>
      <c r="C41" s="28" t="s">
        <v>24</v>
      </c>
      <c r="D41" s="52" t="s">
        <v>64</v>
      </c>
      <c r="E41" s="24">
        <f>E39+1</f>
        <v>27</v>
      </c>
      <c r="F41" s="29"/>
      <c r="G41" s="30" t="s">
        <v>70</v>
      </c>
      <c r="H41" s="27"/>
      <c r="I41" s="19"/>
    </row>
    <row r="42" spans="1:9" x14ac:dyDescent="0.25">
      <c r="A42" s="131"/>
      <c r="B42" s="132"/>
      <c r="C42" s="28" t="s">
        <v>25</v>
      </c>
      <c r="D42" s="53" t="str">
        <f>D34</f>
        <v>A CHARGE CLIENT</v>
      </c>
      <c r="E42" s="24">
        <f>IF(E40="","",MOD(E40+2,52))</f>
        <v>29</v>
      </c>
      <c r="F42" s="29"/>
      <c r="G42" s="30" t="s">
        <v>70</v>
      </c>
      <c r="H42" s="27"/>
      <c r="I42" s="19"/>
    </row>
    <row r="43" spans="1:9" x14ac:dyDescent="0.25">
      <c r="A43" s="143"/>
      <c r="B43" s="143">
        <f>A43</f>
        <v>0</v>
      </c>
      <c r="C43" s="81" t="s">
        <v>147</v>
      </c>
      <c r="D43" s="52" t="s">
        <v>64</v>
      </c>
      <c r="E43" s="82">
        <f>E44</f>
        <v>41</v>
      </c>
      <c r="F43" s="83"/>
      <c r="G43" s="72" t="s">
        <v>70</v>
      </c>
      <c r="H43" s="27"/>
      <c r="I43" s="19"/>
    </row>
    <row r="44" spans="1:9" x14ac:dyDescent="0.25">
      <c r="A44" s="257"/>
      <c r="B44" s="143">
        <f>A44</f>
        <v>0</v>
      </c>
      <c r="C44" s="81" t="s">
        <v>139</v>
      </c>
      <c r="D44" s="193" t="s">
        <v>54</v>
      </c>
      <c r="E44" s="82">
        <v>41</v>
      </c>
      <c r="F44" s="83"/>
      <c r="G44" s="72" t="s">
        <v>36</v>
      </c>
      <c r="H44" s="194"/>
      <c r="I44" s="19"/>
    </row>
    <row r="45" spans="1:9" x14ac:dyDescent="0.25">
      <c r="A45" s="267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268"/>
      <c r="B46" s="146"/>
      <c r="C46" s="387" t="s">
        <v>146</v>
      </c>
      <c r="D46" s="388"/>
      <c r="E46" s="388"/>
      <c r="F46" s="388"/>
      <c r="G46" s="388"/>
      <c r="H46" s="389"/>
      <c r="I46" s="19"/>
    </row>
    <row r="47" spans="1:9" ht="15.75" thickBot="1" x14ac:dyDescent="0.3">
      <c r="A47" s="267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257"/>
      <c r="B48" s="143">
        <f>A48</f>
        <v>0</v>
      </c>
      <c r="C48" s="88" t="s">
        <v>26</v>
      </c>
      <c r="D48" s="52" t="s">
        <v>57</v>
      </c>
      <c r="E48" s="89">
        <v>28</v>
      </c>
      <c r="F48" s="25"/>
      <c r="G48" s="26" t="s">
        <v>36</v>
      </c>
      <c r="H48" s="27"/>
      <c r="I48" s="19"/>
    </row>
    <row r="49" spans="1:9" x14ac:dyDescent="0.25">
      <c r="A49" s="133"/>
      <c r="B49" s="173"/>
      <c r="C49" s="102" t="s">
        <v>69</v>
      </c>
      <c r="D49" s="103" t="s">
        <v>64</v>
      </c>
      <c r="E49" s="104">
        <f>E48</f>
        <v>28</v>
      </c>
      <c r="F49" s="105"/>
      <c r="G49" s="106" t="s">
        <v>70</v>
      </c>
      <c r="H49" s="27"/>
      <c r="I49" s="19"/>
    </row>
    <row r="50" spans="1:9" x14ac:dyDescent="0.25">
      <c r="A50" s="133"/>
      <c r="B50" s="173"/>
      <c r="C50" s="92" t="s">
        <v>61</v>
      </c>
      <c r="D50" s="99" t="s">
        <v>68</v>
      </c>
      <c r="E50" s="101">
        <f>E48+1</f>
        <v>29</v>
      </c>
      <c r="F50" s="95"/>
      <c r="G50" s="96" t="s">
        <v>9</v>
      </c>
      <c r="H50" s="97"/>
      <c r="I50" s="19"/>
    </row>
    <row r="51" spans="1:9" x14ac:dyDescent="0.25">
      <c r="A51" s="133">
        <f>SUM(A8:A50)</f>
        <v>17933.11</v>
      </c>
      <c r="B51" s="133">
        <f>SUM(B8:B50)</f>
        <v>0</v>
      </c>
      <c r="C51" s="91" t="s">
        <v>27</v>
      </c>
      <c r="D51" s="52" t="str">
        <f>D48</f>
        <v>TASTEPER</v>
      </c>
      <c r="E51" s="90">
        <f>E48+3</f>
        <v>31</v>
      </c>
      <c r="F51" s="29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7" t="s">
        <v>142</v>
      </c>
      <c r="I54" s="19"/>
    </row>
    <row r="55" spans="1:9" x14ac:dyDescent="0.25">
      <c r="A55" s="42"/>
      <c r="B55" s="126"/>
      <c r="C55" s="43" t="s">
        <v>122</v>
      </c>
      <c r="D55" s="175"/>
      <c r="E55" s="44"/>
      <c r="F55" s="45"/>
      <c r="G55" s="18"/>
      <c r="H55" s="398"/>
      <c r="I55" s="19"/>
    </row>
    <row r="56" spans="1:9" x14ac:dyDescent="0.25">
      <c r="A56" s="42"/>
      <c r="B56" s="126"/>
      <c r="C56" s="33" t="s">
        <v>123</v>
      </c>
      <c r="D56" s="176"/>
      <c r="E56" s="46"/>
      <c r="F56" s="2"/>
      <c r="G56" s="18"/>
      <c r="H56" s="399" t="e">
        <f>DATEDIF(E3,D58,"m")&amp;"mois"&amp;DATEDIF(E3,D58,"md")&amp;"jours"</f>
        <v>#NUM!</v>
      </c>
      <c r="I56" s="19"/>
    </row>
    <row r="57" spans="1:9" ht="15.75" thickBot="1" x14ac:dyDescent="0.3">
      <c r="A57" s="42"/>
      <c r="B57" s="126"/>
      <c r="C57" s="33" t="s">
        <v>31</v>
      </c>
      <c r="D57" s="176"/>
      <c r="E57" s="46"/>
      <c r="F57" s="2"/>
      <c r="G57" s="18"/>
      <c r="H57" s="400"/>
      <c r="I57" s="19"/>
    </row>
    <row r="58" spans="1:9" x14ac:dyDescent="0.25">
      <c r="A58" s="42"/>
      <c r="B58" s="126"/>
      <c r="C58" s="47" t="s">
        <v>32</v>
      </c>
      <c r="D58" s="184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1"/>
      <c r="D60" s="371"/>
      <c r="E60" s="371"/>
      <c r="F60" s="371"/>
      <c r="G60" s="371"/>
      <c r="H60" s="371"/>
      <c r="I60" s="372"/>
    </row>
    <row r="61" spans="1:9" x14ac:dyDescent="0.25">
      <c r="A61" s="34"/>
      <c r="B61" s="18"/>
      <c r="C61" s="373"/>
      <c r="D61" s="373"/>
      <c r="E61" s="373"/>
      <c r="F61" s="373"/>
      <c r="G61" s="373"/>
      <c r="H61" s="373"/>
      <c r="I61" s="374"/>
    </row>
    <row r="62" spans="1:9" x14ac:dyDescent="0.25">
      <c r="A62" s="34"/>
      <c r="B62" s="18"/>
      <c r="C62" s="373"/>
      <c r="D62" s="373"/>
      <c r="E62" s="373"/>
      <c r="F62" s="373"/>
      <c r="G62" s="373"/>
      <c r="H62" s="373"/>
      <c r="I62" s="374"/>
    </row>
    <row r="63" spans="1:9" x14ac:dyDescent="0.25">
      <c r="A63" s="34"/>
      <c r="B63" s="18"/>
      <c r="C63" s="373"/>
      <c r="D63" s="373"/>
      <c r="E63" s="373"/>
      <c r="F63" s="373"/>
      <c r="G63" s="373"/>
      <c r="H63" s="373"/>
      <c r="I63" s="374"/>
    </row>
    <row r="64" spans="1:9" x14ac:dyDescent="0.25">
      <c r="A64" s="34"/>
      <c r="B64" s="18"/>
      <c r="C64" s="373"/>
      <c r="D64" s="373"/>
      <c r="E64" s="373"/>
      <c r="F64" s="373"/>
      <c r="G64" s="373"/>
      <c r="H64" s="373"/>
      <c r="I64" s="374"/>
    </row>
    <row r="65" spans="1:9" x14ac:dyDescent="0.25">
      <c r="A65" s="44"/>
      <c r="B65" s="45"/>
      <c r="C65" s="375"/>
      <c r="D65" s="375"/>
      <c r="E65" s="375"/>
      <c r="F65" s="375"/>
      <c r="G65" s="375"/>
      <c r="H65" s="375"/>
      <c r="I65" s="376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7">
    <mergeCell ref="A1:G1"/>
    <mergeCell ref="A2:B2"/>
    <mergeCell ref="E2:F2"/>
    <mergeCell ref="H2:I2"/>
    <mergeCell ref="A3:B3"/>
    <mergeCell ref="E3:F3"/>
    <mergeCell ref="H3:I3"/>
    <mergeCell ref="H54:H55"/>
    <mergeCell ref="H56:H57"/>
    <mergeCell ref="C60:I65"/>
    <mergeCell ref="E4:F4"/>
    <mergeCell ref="A5:B5"/>
    <mergeCell ref="A6:B6"/>
    <mergeCell ref="C6:H6"/>
    <mergeCell ref="C27:H27"/>
    <mergeCell ref="C46:H46"/>
    <mergeCell ref="B20:B21"/>
  </mergeCells>
  <conditionalFormatting sqref="C52:G52">
    <cfRule type="expression" dxfId="260" priority="70">
      <formula>$F52="réalisé"</formula>
    </cfRule>
  </conditionalFormatting>
  <conditionalFormatting sqref="C48:C51 E48:H51 E29:H45 C8:H26">
    <cfRule type="expression" dxfId="259" priority="67">
      <formula>$G8="réalisé"</formula>
    </cfRule>
    <cfRule type="expression" dxfId="258" priority="68">
      <formula>$G8="en cours"</formula>
    </cfRule>
    <cfRule type="expression" dxfId="257" priority="69">
      <formula>$G8="non compris"</formula>
    </cfRule>
  </conditionalFormatting>
  <conditionalFormatting sqref="C29:C45">
    <cfRule type="expression" dxfId="256" priority="64">
      <formula>$G29="réalisé"</formula>
    </cfRule>
    <cfRule type="expression" dxfId="255" priority="65">
      <formula>$G29="en cours"</formula>
    </cfRule>
    <cfRule type="expression" dxfId="254" priority="66">
      <formula>$G29="non compris"</formula>
    </cfRule>
  </conditionalFormatting>
  <conditionalFormatting sqref="C55:F58">
    <cfRule type="expression" dxfId="253" priority="63">
      <formula>$F55="réalisé"</formula>
    </cfRule>
  </conditionalFormatting>
  <conditionalFormatting sqref="G9">
    <cfRule type="expression" dxfId="252" priority="62">
      <formula>$G$10="réalisé"</formula>
    </cfRule>
  </conditionalFormatting>
  <conditionalFormatting sqref="G10:G14">
    <cfRule type="expression" dxfId="251" priority="61">
      <formula>$G$15="réalisé"</formula>
    </cfRule>
  </conditionalFormatting>
  <conditionalFormatting sqref="G20:G21">
    <cfRule type="expression" dxfId="250" priority="60">
      <formula>$G$22="réalisé"</formula>
    </cfRule>
  </conditionalFormatting>
  <conditionalFormatting sqref="G30">
    <cfRule type="expression" dxfId="249" priority="59">
      <formula>$G$31="réalisé"</formula>
    </cfRule>
  </conditionalFormatting>
  <conditionalFormatting sqref="D29">
    <cfRule type="expression" dxfId="248" priority="56">
      <formula>$G29="réalisé"</formula>
    </cfRule>
    <cfRule type="expression" dxfId="247" priority="57">
      <formula>$G29="en cours"</formula>
    </cfRule>
    <cfRule type="expression" dxfId="246" priority="58">
      <formula>$G29="non compris"</formula>
    </cfRule>
  </conditionalFormatting>
  <conditionalFormatting sqref="D31">
    <cfRule type="expression" dxfId="245" priority="53">
      <formula>$G31="réalisé"</formula>
    </cfRule>
    <cfRule type="expression" dxfId="244" priority="54">
      <formula>$G31="en cours"</formula>
    </cfRule>
    <cfRule type="expression" dxfId="243" priority="55">
      <formula>$G31="non compris"</formula>
    </cfRule>
  </conditionalFormatting>
  <conditionalFormatting sqref="D33">
    <cfRule type="expression" dxfId="242" priority="50">
      <formula>$G33="réalisé"</formula>
    </cfRule>
    <cfRule type="expression" dxfId="241" priority="51">
      <formula>$G33="en cours"</formula>
    </cfRule>
    <cfRule type="expression" dxfId="240" priority="52">
      <formula>$G33="non compris"</formula>
    </cfRule>
  </conditionalFormatting>
  <conditionalFormatting sqref="D35">
    <cfRule type="expression" dxfId="239" priority="47">
      <formula>$G35="réalisé"</formula>
    </cfRule>
    <cfRule type="expression" dxfId="238" priority="48">
      <formula>$G35="en cours"</formula>
    </cfRule>
    <cfRule type="expression" dxfId="237" priority="49">
      <formula>$G35="non compris"</formula>
    </cfRule>
  </conditionalFormatting>
  <conditionalFormatting sqref="D37">
    <cfRule type="expression" dxfId="236" priority="44">
      <formula>$G37="réalisé"</formula>
    </cfRule>
    <cfRule type="expression" dxfId="235" priority="45">
      <formula>$G37="en cours"</formula>
    </cfRule>
    <cfRule type="expression" dxfId="234" priority="46">
      <formula>$G37="non compris"</formula>
    </cfRule>
  </conditionalFormatting>
  <conditionalFormatting sqref="D39">
    <cfRule type="expression" dxfId="233" priority="41">
      <formula>$G39="réalisé"</formula>
    </cfRule>
    <cfRule type="expression" dxfId="232" priority="42">
      <formula>$G39="en cours"</formula>
    </cfRule>
    <cfRule type="expression" dxfId="231" priority="43">
      <formula>$G39="non compris"</formula>
    </cfRule>
  </conditionalFormatting>
  <conditionalFormatting sqref="D41">
    <cfRule type="expression" dxfId="230" priority="38">
      <formula>$G41="réalisé"</formula>
    </cfRule>
    <cfRule type="expression" dxfId="229" priority="39">
      <formula>$G41="en cours"</formula>
    </cfRule>
    <cfRule type="expression" dxfId="228" priority="40">
      <formula>$G41="non compris"</formula>
    </cfRule>
  </conditionalFormatting>
  <conditionalFormatting sqref="D44:D45">
    <cfRule type="expression" dxfId="227" priority="35">
      <formula>$G44="réalisé"</formula>
    </cfRule>
    <cfRule type="expression" dxfId="226" priority="36">
      <formula>$G44="en cours"</formula>
    </cfRule>
    <cfRule type="expression" dxfId="225" priority="37">
      <formula>$G44="non compris"</formula>
    </cfRule>
  </conditionalFormatting>
  <conditionalFormatting sqref="D30">
    <cfRule type="expression" dxfId="224" priority="32">
      <formula>$G30="réalisé"</formula>
    </cfRule>
    <cfRule type="expression" dxfId="223" priority="33">
      <formula>$G30="en cours"</formula>
    </cfRule>
    <cfRule type="expression" dxfId="222" priority="34">
      <formula>$G30="non compris"</formula>
    </cfRule>
  </conditionalFormatting>
  <conditionalFormatting sqref="D32">
    <cfRule type="expression" dxfId="221" priority="29">
      <formula>$G32="réalisé"</formula>
    </cfRule>
    <cfRule type="expression" dxfId="220" priority="30">
      <formula>$G32="en cours"</formula>
    </cfRule>
    <cfRule type="expression" dxfId="219" priority="31">
      <formula>$G32="non compris"</formula>
    </cfRule>
  </conditionalFormatting>
  <conditionalFormatting sqref="D34">
    <cfRule type="expression" dxfId="218" priority="26">
      <formula>$G34="réalisé"</formula>
    </cfRule>
    <cfRule type="expression" dxfId="217" priority="27">
      <formula>$G34="en cours"</formula>
    </cfRule>
    <cfRule type="expression" dxfId="216" priority="28">
      <formula>$G34="non compris"</formula>
    </cfRule>
  </conditionalFormatting>
  <conditionalFormatting sqref="D36">
    <cfRule type="expression" dxfId="215" priority="23">
      <formula>$G36="réalisé"</formula>
    </cfRule>
    <cfRule type="expression" dxfId="214" priority="24">
      <formula>$G36="en cours"</formula>
    </cfRule>
    <cfRule type="expression" dxfId="213" priority="25">
      <formula>$G36="non compris"</formula>
    </cfRule>
  </conditionalFormatting>
  <conditionalFormatting sqref="D38">
    <cfRule type="expression" dxfId="212" priority="20">
      <formula>$G38="réalisé"</formula>
    </cfRule>
    <cfRule type="expression" dxfId="211" priority="21">
      <formula>$G38="en cours"</formula>
    </cfRule>
    <cfRule type="expression" dxfId="210" priority="22">
      <formula>$G38="non compris"</formula>
    </cfRule>
  </conditionalFormatting>
  <conditionalFormatting sqref="D40">
    <cfRule type="expression" dxfId="209" priority="17">
      <formula>$G40="réalisé"</formula>
    </cfRule>
    <cfRule type="expression" dxfId="208" priority="18">
      <formula>$G40="en cours"</formula>
    </cfRule>
    <cfRule type="expression" dxfId="207" priority="19">
      <formula>$G40="non compris"</formula>
    </cfRule>
  </conditionalFormatting>
  <conditionalFormatting sqref="D42:D43">
    <cfRule type="expression" dxfId="206" priority="14">
      <formula>$G42="réalisé"</formula>
    </cfRule>
    <cfRule type="expression" dxfId="205" priority="15">
      <formula>$G42="en cours"</formula>
    </cfRule>
    <cfRule type="expression" dxfId="204" priority="16">
      <formula>$G42="non compris"</formula>
    </cfRule>
  </conditionalFormatting>
  <conditionalFormatting sqref="D50">
    <cfRule type="expression" dxfId="203" priority="11">
      <formula>$G50="réalisé"</formula>
    </cfRule>
    <cfRule type="expression" dxfId="202" priority="12">
      <formula>$G50="en cours"</formula>
    </cfRule>
    <cfRule type="expression" dxfId="201" priority="13">
      <formula>$G50="non compris"</formula>
    </cfRule>
  </conditionalFormatting>
  <conditionalFormatting sqref="D49">
    <cfRule type="expression" dxfId="200" priority="8">
      <formula>$G49="réalisé"</formula>
    </cfRule>
    <cfRule type="expression" dxfId="199" priority="9">
      <formula>$G49="en cours"</formula>
    </cfRule>
    <cfRule type="expression" dxfId="198" priority="10">
      <formula>$G49="non compris"</formula>
    </cfRule>
  </conditionalFormatting>
  <conditionalFormatting sqref="D48">
    <cfRule type="expression" dxfId="197" priority="5">
      <formula>$G48="réalisé"</formula>
    </cfRule>
    <cfRule type="expression" dxfId="196" priority="6">
      <formula>$G48="en cours"</formula>
    </cfRule>
    <cfRule type="expression" dxfId="195" priority="7">
      <formula>$G48="non compris"</formula>
    </cfRule>
  </conditionalFormatting>
  <conditionalFormatting sqref="D51">
    <cfRule type="expression" dxfId="194" priority="2">
      <formula>$G51="réalisé"</formula>
    </cfRule>
    <cfRule type="expression" dxfId="193" priority="3">
      <formula>$G51="en cours"</formula>
    </cfRule>
    <cfRule type="expression" dxfId="192" priority="4">
      <formula>$G51="non compris"</formula>
    </cfRule>
  </conditionalFormatting>
  <conditionalFormatting sqref="D8:D26">
    <cfRule type="expression" dxfId="191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82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tabColor rgb="FF00B050"/>
    <pageSetUpPr fitToPage="1"/>
  </sheetPr>
  <dimension ref="A1:I74"/>
  <sheetViews>
    <sheetView zoomScaleNormal="100" workbookViewId="0">
      <selection activeCell="E12" sqref="E12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7" t="s">
        <v>0</v>
      </c>
      <c r="B1" s="378"/>
      <c r="C1" s="378"/>
      <c r="D1" s="378"/>
      <c r="E1" s="378"/>
      <c r="F1" s="378"/>
      <c r="G1" s="378"/>
      <c r="H1" s="1" t="s">
        <v>1</v>
      </c>
      <c r="I1" s="3">
        <f ca="1">INT(MOD(INT((LISTE!D1-2)/7)+0.6,52+5/28))+1</f>
        <v>41</v>
      </c>
    </row>
    <row r="2" spans="1:9" x14ac:dyDescent="0.25">
      <c r="A2" s="390" t="s">
        <v>2</v>
      </c>
      <c r="B2" s="391"/>
      <c r="C2" s="70" t="str">
        <f ca="1">MID(CELL("nomfichier",A1),FIND("]",CELL("nomfichier",A1),1)+1,30)</f>
        <v>ZYTO</v>
      </c>
      <c r="D2" s="4" t="s">
        <v>72</v>
      </c>
      <c r="E2" s="379">
        <v>43231</v>
      </c>
      <c r="F2" s="379"/>
      <c r="G2" s="5"/>
      <c r="H2" s="380" t="s">
        <v>143</v>
      </c>
      <c r="I2" s="381"/>
    </row>
    <row r="3" spans="1:9" ht="15.75" x14ac:dyDescent="0.25">
      <c r="A3" s="392" t="s">
        <v>106</v>
      </c>
      <c r="B3" s="384"/>
      <c r="C3" s="6" t="s">
        <v>243</v>
      </c>
      <c r="D3" s="7" t="s">
        <v>3</v>
      </c>
      <c r="E3" s="382"/>
      <c r="F3" s="383"/>
      <c r="G3" s="8"/>
      <c r="H3" s="384" t="str">
        <f ca="1">DATEDIF(E3,TODAY(),"m")&amp;"mois"&amp;-DATEDIF(E3,TODAY(),"md")&amp;"jours"</f>
        <v>1425mois-12jours</v>
      </c>
      <c r="I3" s="385"/>
    </row>
    <row r="4" spans="1:9" ht="18.75" x14ac:dyDescent="0.25">
      <c r="A4" s="69" t="s">
        <v>117</v>
      </c>
      <c r="B4" s="129"/>
      <c r="C4" s="9" t="s">
        <v>120</v>
      </c>
      <c r="D4" s="10" t="s">
        <v>4</v>
      </c>
      <c r="E4" s="386">
        <f>E3+60</f>
        <v>60</v>
      </c>
      <c r="F4" s="386"/>
      <c r="G4" s="11"/>
      <c r="H4" s="12"/>
      <c r="I4" s="13"/>
    </row>
    <row r="5" spans="1:9" x14ac:dyDescent="0.25">
      <c r="A5" s="393" t="s">
        <v>76</v>
      </c>
      <c r="B5" s="394"/>
      <c r="C5" s="15"/>
      <c r="D5" s="16"/>
      <c r="E5" s="15"/>
      <c r="F5" s="15"/>
      <c r="G5" s="17"/>
      <c r="H5" s="18"/>
      <c r="I5" s="19"/>
    </row>
    <row r="6" spans="1:9" ht="18.75" x14ac:dyDescent="0.3">
      <c r="A6" s="395" t="s">
        <v>75</v>
      </c>
      <c r="B6" s="396"/>
      <c r="C6" s="387" t="s">
        <v>145</v>
      </c>
      <c r="D6" s="388"/>
      <c r="E6" s="388"/>
      <c r="F6" s="388"/>
      <c r="G6" s="388"/>
      <c r="H6" s="389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22"/>
      <c r="B8" s="200"/>
      <c r="C8" s="28" t="s">
        <v>124</v>
      </c>
      <c r="D8" s="52" t="s">
        <v>208</v>
      </c>
      <c r="E8" s="180">
        <v>30</v>
      </c>
      <c r="F8" s="25"/>
      <c r="G8" s="26" t="s">
        <v>36</v>
      </c>
      <c r="H8" s="27"/>
      <c r="I8" s="19"/>
    </row>
    <row r="9" spans="1:9" x14ac:dyDescent="0.25">
      <c r="A9" s="122"/>
      <c r="B9" s="130"/>
      <c r="C9" s="28" t="s">
        <v>131</v>
      </c>
      <c r="D9" s="53" t="str">
        <f>D8</f>
        <v>DANACI</v>
      </c>
      <c r="E9" s="181">
        <v>36</v>
      </c>
      <c r="F9" s="29"/>
      <c r="G9" s="30" t="s">
        <v>36</v>
      </c>
      <c r="H9" s="27"/>
      <c r="I9" s="19"/>
    </row>
    <row r="10" spans="1:9" ht="15" customHeight="1" x14ac:dyDescent="0.25">
      <c r="A10" s="131"/>
      <c r="B10" s="182"/>
      <c r="C10" s="28" t="s">
        <v>132</v>
      </c>
      <c r="D10" s="52" t="str">
        <f>D9</f>
        <v>DANACI</v>
      </c>
      <c r="E10" s="180">
        <v>40</v>
      </c>
      <c r="F10" s="31"/>
      <c r="G10" s="30" t="s">
        <v>36</v>
      </c>
      <c r="H10" s="27"/>
      <c r="I10" s="19"/>
    </row>
    <row r="11" spans="1:9" ht="15" customHeight="1" x14ac:dyDescent="0.25">
      <c r="A11" s="131"/>
      <c r="B11" s="132"/>
      <c r="C11" s="28" t="s">
        <v>133</v>
      </c>
      <c r="D11" s="54" t="str">
        <f>D8</f>
        <v>DANACI</v>
      </c>
      <c r="E11" s="180">
        <v>42</v>
      </c>
      <c r="F11" s="31"/>
      <c r="G11" s="30" t="s">
        <v>9</v>
      </c>
      <c r="H11" s="27"/>
      <c r="I11" s="19"/>
    </row>
    <row r="12" spans="1:9" ht="15" customHeight="1" x14ac:dyDescent="0.25">
      <c r="A12" s="144">
        <v>13531.98</v>
      </c>
      <c r="B12" s="143">
        <f>A12-4510.66</f>
        <v>9021.32</v>
      </c>
      <c r="C12" s="28" t="s">
        <v>134</v>
      </c>
      <c r="D12" s="54" t="str">
        <f t="shared" ref="D12:D14" si="0">D9</f>
        <v>DANACI</v>
      </c>
      <c r="E12" s="180">
        <f>E11+2</f>
        <v>44</v>
      </c>
      <c r="F12" s="31"/>
      <c r="G12" s="30" t="s">
        <v>9</v>
      </c>
      <c r="H12" s="27"/>
      <c r="I12" s="19"/>
    </row>
    <row r="13" spans="1:9" ht="15" customHeight="1" x14ac:dyDescent="0.25">
      <c r="A13" s="131"/>
      <c r="B13" s="132"/>
      <c r="C13" s="28" t="s">
        <v>135</v>
      </c>
      <c r="D13" s="54" t="str">
        <f t="shared" si="0"/>
        <v>DANACI</v>
      </c>
      <c r="E13" s="180">
        <f>E12+1</f>
        <v>45</v>
      </c>
      <c r="F13" s="31"/>
      <c r="G13" s="30" t="s">
        <v>9</v>
      </c>
      <c r="H13" s="27"/>
      <c r="I13" s="19"/>
    </row>
    <row r="14" spans="1:9" ht="15" customHeight="1" x14ac:dyDescent="0.25">
      <c r="A14" s="131"/>
      <c r="B14" s="132"/>
      <c r="C14" s="28" t="s">
        <v>136</v>
      </c>
      <c r="D14" s="54" t="str">
        <f t="shared" si="0"/>
        <v>DANACI</v>
      </c>
      <c r="E14" s="180">
        <v>39</v>
      </c>
      <c r="F14" s="31"/>
      <c r="G14" s="30" t="s">
        <v>36</v>
      </c>
      <c r="H14" s="27"/>
      <c r="I14" s="19"/>
    </row>
    <row r="15" spans="1:9" x14ac:dyDescent="0.25">
      <c r="A15" s="131"/>
      <c r="B15" s="132"/>
      <c r="C15" s="28" t="s">
        <v>62</v>
      </c>
      <c r="D15" s="53" t="s">
        <v>64</v>
      </c>
      <c r="E15" s="24">
        <f>E10+4</f>
        <v>44</v>
      </c>
      <c r="F15" s="29"/>
      <c r="G15" s="30" t="s">
        <v>70</v>
      </c>
      <c r="H15" s="27"/>
      <c r="I15" s="19"/>
    </row>
    <row r="16" spans="1:9" x14ac:dyDescent="0.25">
      <c r="A16" s="131"/>
      <c r="B16" s="132"/>
      <c r="C16" s="28" t="s">
        <v>10</v>
      </c>
      <c r="D16" s="52" t="s">
        <v>64</v>
      </c>
      <c r="E16" s="24">
        <f>E15+1</f>
        <v>45</v>
      </c>
      <c r="F16" s="29"/>
      <c r="G16" s="30" t="s">
        <v>70</v>
      </c>
      <c r="H16" s="27"/>
      <c r="I16" s="19"/>
    </row>
    <row r="17" spans="1:9" x14ac:dyDescent="0.25">
      <c r="A17" s="131"/>
      <c r="B17" s="132"/>
      <c r="C17" s="28" t="s">
        <v>11</v>
      </c>
      <c r="D17" s="53" t="s">
        <v>208</v>
      </c>
      <c r="E17" s="24">
        <f>E16+1</f>
        <v>46</v>
      </c>
      <c r="F17" s="29"/>
      <c r="G17" s="30" t="s">
        <v>9</v>
      </c>
      <c r="H17" s="27"/>
      <c r="I17" s="19"/>
    </row>
    <row r="18" spans="1:9" x14ac:dyDescent="0.25">
      <c r="A18" s="144">
        <v>937.24</v>
      </c>
      <c r="B18" s="143">
        <f>A18</f>
        <v>937.24</v>
      </c>
      <c r="C18" s="28" t="s">
        <v>12</v>
      </c>
      <c r="D18" s="52" t="s">
        <v>41</v>
      </c>
      <c r="E18" s="180">
        <f>E13</f>
        <v>45</v>
      </c>
      <c r="F18" s="29"/>
      <c r="G18" s="30" t="s">
        <v>9</v>
      </c>
      <c r="H18" s="27"/>
      <c r="I18" s="19"/>
    </row>
    <row r="19" spans="1:9" x14ac:dyDescent="0.25">
      <c r="A19" s="131"/>
      <c r="B19" s="132"/>
      <c r="C19" s="28" t="s">
        <v>73</v>
      </c>
      <c r="D19" s="53" t="str">
        <f>D10</f>
        <v>DANACI</v>
      </c>
      <c r="E19" s="24">
        <f>IF(E18="","",MOD(E18+1,52))</f>
        <v>46</v>
      </c>
      <c r="F19" s="29"/>
      <c r="G19" s="30" t="s">
        <v>9</v>
      </c>
      <c r="H19" s="27"/>
      <c r="I19" s="19"/>
    </row>
    <row r="20" spans="1:9" x14ac:dyDescent="0.25">
      <c r="A20" s="149">
        <v>1178.33</v>
      </c>
      <c r="B20" s="143">
        <f>A20</f>
        <v>1178.33</v>
      </c>
      <c r="C20" s="28" t="s">
        <v>59</v>
      </c>
      <c r="D20" s="52" t="s">
        <v>41</v>
      </c>
      <c r="E20" s="24">
        <f>IF(E19="","",MOD(E19+1,52))</f>
        <v>47</v>
      </c>
      <c r="F20" s="29"/>
      <c r="G20" s="30" t="s">
        <v>9</v>
      </c>
      <c r="H20" s="27"/>
      <c r="I20" s="19"/>
    </row>
    <row r="21" spans="1:9" x14ac:dyDescent="0.25">
      <c r="A21" s="149">
        <v>389.65</v>
      </c>
      <c r="B21" s="143">
        <f>A21</f>
        <v>389.65</v>
      </c>
      <c r="C21" s="28" t="s">
        <v>60</v>
      </c>
      <c r="D21" s="54" t="s">
        <v>44</v>
      </c>
      <c r="E21" s="24">
        <f>E20</f>
        <v>47</v>
      </c>
      <c r="F21" s="29"/>
      <c r="G21" s="30" t="s">
        <v>9</v>
      </c>
      <c r="H21" s="50"/>
      <c r="I21" s="19"/>
    </row>
    <row r="22" spans="1:9" x14ac:dyDescent="0.25">
      <c r="A22" s="131"/>
      <c r="B22" s="132"/>
      <c r="C22" s="167" t="s">
        <v>13</v>
      </c>
      <c r="D22" s="168" t="s">
        <v>68</v>
      </c>
      <c r="E22" s="169">
        <f>E20</f>
        <v>47</v>
      </c>
      <c r="F22" s="170"/>
      <c r="G22" s="171" t="s">
        <v>70</v>
      </c>
      <c r="H22" s="172"/>
      <c r="I22" s="19"/>
    </row>
    <row r="23" spans="1:9" x14ac:dyDescent="0.25">
      <c r="A23" s="144">
        <v>3090.67</v>
      </c>
      <c r="B23" s="143">
        <f>A23</f>
        <v>3090.67</v>
      </c>
      <c r="C23" s="32" t="s">
        <v>138</v>
      </c>
      <c r="D23" s="52" t="s">
        <v>45</v>
      </c>
      <c r="E23" s="24">
        <f>E21+1</f>
        <v>48</v>
      </c>
      <c r="F23" s="29"/>
      <c r="G23" s="30" t="s">
        <v>9</v>
      </c>
      <c r="H23" s="27"/>
      <c r="I23" s="19"/>
    </row>
    <row r="24" spans="1:9" x14ac:dyDescent="0.25">
      <c r="A24" s="131"/>
      <c r="B24" s="132"/>
      <c r="C24" s="28" t="s">
        <v>14</v>
      </c>
      <c r="D24" s="53" t="str">
        <f>D17</f>
        <v>DANACI</v>
      </c>
      <c r="E24" s="24">
        <f>IF(E20="","",MOD(E20+2,52))</f>
        <v>49</v>
      </c>
      <c r="F24" s="29"/>
      <c r="G24" s="30" t="s">
        <v>9</v>
      </c>
      <c r="H24" s="27"/>
      <c r="I24" s="19"/>
    </row>
    <row r="25" spans="1:9" x14ac:dyDescent="0.25">
      <c r="A25" s="144"/>
      <c r="B25" s="143">
        <f>A25</f>
        <v>0</v>
      </c>
      <c r="C25" s="183" t="s">
        <v>137</v>
      </c>
      <c r="D25" s="53" t="s">
        <v>56</v>
      </c>
      <c r="E25" s="24">
        <f>E23</f>
        <v>48</v>
      </c>
      <c r="F25" s="29"/>
      <c r="G25" s="72" t="s">
        <v>9</v>
      </c>
      <c r="H25" s="27"/>
      <c r="I25" s="19"/>
    </row>
    <row r="26" spans="1:9" x14ac:dyDescent="0.25">
      <c r="A26" s="131"/>
      <c r="B26" s="132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145"/>
      <c r="B27" s="146"/>
      <c r="C27" s="387" t="s">
        <v>144</v>
      </c>
      <c r="D27" s="388"/>
      <c r="E27" s="388"/>
      <c r="F27" s="388"/>
      <c r="G27" s="388"/>
      <c r="H27" s="389"/>
      <c r="I27" s="19"/>
    </row>
    <row r="28" spans="1:9" ht="15.75" thickBot="1" x14ac:dyDescent="0.3">
      <c r="A28" s="131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44">
        <v>914.72</v>
      </c>
      <c r="B29" s="143">
        <f>A29</f>
        <v>914.72</v>
      </c>
      <c r="C29" s="78" t="s">
        <v>66</v>
      </c>
      <c r="D29" s="52" t="s">
        <v>90</v>
      </c>
      <c r="E29" s="79">
        <f>IF(E24="","",MOD(E24+1,52))</f>
        <v>50</v>
      </c>
      <c r="F29" s="25"/>
      <c r="G29" s="26" t="s">
        <v>9</v>
      </c>
      <c r="H29" s="27"/>
      <c r="I29" s="19"/>
    </row>
    <row r="30" spans="1:9" x14ac:dyDescent="0.25">
      <c r="A30" s="144">
        <v>1990.24</v>
      </c>
      <c r="B30" s="143">
        <f>A30</f>
        <v>1990.24</v>
      </c>
      <c r="C30" s="28" t="s">
        <v>67</v>
      </c>
      <c r="D30" s="53" t="s">
        <v>47</v>
      </c>
      <c r="E30" s="24">
        <f>IF(E29="","",MOD(E29+1,52))</f>
        <v>51</v>
      </c>
      <c r="F30" s="29"/>
      <c r="G30" s="30"/>
      <c r="H30" s="27"/>
      <c r="I30" s="19"/>
    </row>
    <row r="31" spans="1:9" x14ac:dyDescent="0.25">
      <c r="A31" s="131"/>
      <c r="B31" s="132"/>
      <c r="C31" s="62" t="s">
        <v>16</v>
      </c>
      <c r="D31" s="52" t="str">
        <f>D29</f>
        <v>ELECTRO HECKER</v>
      </c>
      <c r="E31" s="24">
        <f>IF(E30="","",MOD(E30+2,52))</f>
        <v>1</v>
      </c>
      <c r="F31" s="29"/>
      <c r="G31" s="30"/>
      <c r="H31" s="27"/>
      <c r="I31" s="19"/>
    </row>
    <row r="32" spans="1:9" x14ac:dyDescent="0.25">
      <c r="A32" s="144"/>
      <c r="B32" s="143">
        <f>A32</f>
        <v>0</v>
      </c>
      <c r="C32" s="80" t="s">
        <v>17</v>
      </c>
      <c r="D32" s="53" t="s">
        <v>50</v>
      </c>
      <c r="E32" s="24">
        <f>IF(E30="","",MOD(E30+2,52))</f>
        <v>1</v>
      </c>
      <c r="F32" s="29"/>
      <c r="G32" s="30"/>
      <c r="H32" s="27"/>
      <c r="I32" s="19"/>
    </row>
    <row r="33" spans="1:9" x14ac:dyDescent="0.25">
      <c r="A33" s="143"/>
      <c r="B33" s="143"/>
      <c r="C33" s="62" t="s">
        <v>140</v>
      </c>
      <c r="D33" s="52" t="s">
        <v>64</v>
      </c>
      <c r="E33" s="24">
        <f>IF(E32="","",MOD(E32+1,52))</f>
        <v>2</v>
      </c>
      <c r="F33" s="29"/>
      <c r="G33" s="30" t="s">
        <v>70</v>
      </c>
      <c r="H33" s="27"/>
      <c r="I33" s="19"/>
    </row>
    <row r="34" spans="1:9" x14ac:dyDescent="0.25">
      <c r="A34" s="143"/>
      <c r="B34" s="143">
        <f>A34</f>
        <v>0</v>
      </c>
      <c r="C34" s="28" t="s">
        <v>141</v>
      </c>
      <c r="D34" s="53" t="s">
        <v>64</v>
      </c>
      <c r="E34" s="24">
        <f>IF(E32="","",MOD(E32+1,52))</f>
        <v>2</v>
      </c>
      <c r="F34" s="29"/>
      <c r="G34" s="30" t="s">
        <v>70</v>
      </c>
      <c r="H34" s="27"/>
      <c r="I34" s="19"/>
    </row>
    <row r="35" spans="1:9" x14ac:dyDescent="0.25">
      <c r="A35" s="131"/>
      <c r="B35" s="13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257"/>
      <c r="B36" s="143">
        <f>A36</f>
        <v>0</v>
      </c>
      <c r="C36" s="28" t="s">
        <v>19</v>
      </c>
      <c r="D36" s="53" t="s">
        <v>52</v>
      </c>
      <c r="E36" s="24">
        <f>IF(E34="","",MOD(E34+1,52))</f>
        <v>3</v>
      </c>
      <c r="F36" s="29"/>
      <c r="G36" s="30"/>
      <c r="H36" s="27"/>
      <c r="I36" s="19"/>
    </row>
    <row r="37" spans="1:9" x14ac:dyDescent="0.25">
      <c r="A37" s="131"/>
      <c r="B37" s="132"/>
      <c r="C37" s="28" t="s">
        <v>20</v>
      </c>
      <c r="D37" s="52" t="str">
        <f>D30</f>
        <v>SOARES</v>
      </c>
      <c r="E37" s="24">
        <f>IF(E36="","",MOD(E36+1,52))</f>
        <v>4</v>
      </c>
      <c r="F37" s="29"/>
      <c r="G37" s="30"/>
      <c r="H37" s="27"/>
      <c r="I37" s="19"/>
    </row>
    <row r="38" spans="1:9" x14ac:dyDescent="0.25">
      <c r="A38" s="131"/>
      <c r="B38" s="132"/>
      <c r="C38" s="28" t="s">
        <v>21</v>
      </c>
      <c r="D38" s="53" t="str">
        <f>D29</f>
        <v>ELECTRO HECKER</v>
      </c>
      <c r="E38" s="24">
        <f>IF(E37="","",MOD(E37+1,52))</f>
        <v>5</v>
      </c>
      <c r="F38" s="29"/>
      <c r="G38" s="30" t="s">
        <v>9</v>
      </c>
      <c r="H38" s="27"/>
      <c r="I38" s="19"/>
    </row>
    <row r="39" spans="1:9" x14ac:dyDescent="0.25">
      <c r="A39" s="131"/>
      <c r="B39" s="132"/>
      <c r="C39" s="28" t="s">
        <v>22</v>
      </c>
      <c r="D39" s="52" t="str">
        <f>D32</f>
        <v>HERTFELDER</v>
      </c>
      <c r="E39" s="24">
        <f>IF(E37="","",MOD(E37+1,52))</f>
        <v>5</v>
      </c>
      <c r="F39" s="29"/>
      <c r="G39" s="30"/>
      <c r="H39" s="27"/>
      <c r="I39" s="19"/>
    </row>
    <row r="40" spans="1:9" x14ac:dyDescent="0.25">
      <c r="A40" s="131"/>
      <c r="B40" s="132"/>
      <c r="C40" s="28" t="s">
        <v>23</v>
      </c>
      <c r="D40" s="53" t="s">
        <v>64</v>
      </c>
      <c r="E40" s="24">
        <f>E36+4</f>
        <v>7</v>
      </c>
      <c r="F40" s="29"/>
      <c r="G40" s="30" t="s">
        <v>70</v>
      </c>
      <c r="H40" s="27"/>
      <c r="I40" s="19"/>
    </row>
    <row r="41" spans="1:9" x14ac:dyDescent="0.25">
      <c r="A41" s="131"/>
      <c r="B41" s="132"/>
      <c r="C41" s="28" t="s">
        <v>24</v>
      </c>
      <c r="D41" s="52" t="s">
        <v>64</v>
      </c>
      <c r="E41" s="24">
        <f>E39+1</f>
        <v>6</v>
      </c>
      <c r="F41" s="29"/>
      <c r="G41" s="30" t="s">
        <v>70</v>
      </c>
      <c r="H41" s="27"/>
      <c r="I41" s="19"/>
    </row>
    <row r="42" spans="1:9" x14ac:dyDescent="0.25">
      <c r="A42" s="131"/>
      <c r="B42" s="132"/>
      <c r="C42" s="28" t="s">
        <v>25</v>
      </c>
      <c r="D42" s="53" t="str">
        <f>D34</f>
        <v>A CHARGE CLIENT</v>
      </c>
      <c r="E42" s="24">
        <f>IF(E40="","",MOD(E40+2,52))</f>
        <v>9</v>
      </c>
      <c r="F42" s="29"/>
      <c r="G42" s="30" t="s">
        <v>70</v>
      </c>
      <c r="H42" s="27"/>
      <c r="I42" s="19"/>
    </row>
    <row r="43" spans="1:9" x14ac:dyDescent="0.25">
      <c r="A43" s="143"/>
      <c r="B43" s="143">
        <f>A43</f>
        <v>0</v>
      </c>
      <c r="C43" s="81" t="s">
        <v>147</v>
      </c>
      <c r="D43" s="52" t="s">
        <v>64</v>
      </c>
      <c r="E43" s="82">
        <f>E44</f>
        <v>9</v>
      </c>
      <c r="F43" s="83"/>
      <c r="G43" s="72" t="s">
        <v>70</v>
      </c>
      <c r="H43" s="27"/>
      <c r="I43" s="19"/>
    </row>
    <row r="44" spans="1:9" x14ac:dyDescent="0.25">
      <c r="A44" s="143"/>
      <c r="B44" s="143">
        <f>A44</f>
        <v>0</v>
      </c>
      <c r="C44" s="81" t="s">
        <v>139</v>
      </c>
      <c r="D44" s="193" t="s">
        <v>64</v>
      </c>
      <c r="E44" s="82">
        <f>IF(E40="","",MOD(E40+2,52))</f>
        <v>9</v>
      </c>
      <c r="F44" s="83"/>
      <c r="G44" s="72" t="s">
        <v>70</v>
      </c>
      <c r="H44" s="194"/>
      <c r="I44" s="19"/>
    </row>
    <row r="45" spans="1:9" x14ac:dyDescent="0.25">
      <c r="A45" s="131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145"/>
      <c r="B46" s="146"/>
      <c r="C46" s="387" t="s">
        <v>146</v>
      </c>
      <c r="D46" s="388"/>
      <c r="E46" s="388"/>
      <c r="F46" s="388"/>
      <c r="G46" s="388"/>
      <c r="H46" s="389"/>
      <c r="I46" s="19"/>
    </row>
    <row r="47" spans="1:9" ht="15.75" thickBot="1" x14ac:dyDescent="0.3">
      <c r="A47" s="131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143"/>
      <c r="B48" s="143">
        <f>A48</f>
        <v>0</v>
      </c>
      <c r="C48" s="88" t="s">
        <v>26</v>
      </c>
      <c r="D48" s="52" t="s">
        <v>57</v>
      </c>
      <c r="E48" s="89">
        <f>E32+1</f>
        <v>2</v>
      </c>
      <c r="F48" s="25"/>
      <c r="G48" s="26" t="s">
        <v>9</v>
      </c>
      <c r="H48" s="27"/>
      <c r="I48" s="19"/>
    </row>
    <row r="49" spans="1:9" x14ac:dyDescent="0.25">
      <c r="A49" s="133"/>
      <c r="B49" s="173"/>
      <c r="C49" s="102" t="s">
        <v>69</v>
      </c>
      <c r="D49" s="103" t="s">
        <v>64</v>
      </c>
      <c r="E49" s="104">
        <f>E48</f>
        <v>2</v>
      </c>
      <c r="F49" s="105"/>
      <c r="G49" s="106" t="s">
        <v>70</v>
      </c>
      <c r="H49" s="27"/>
      <c r="I49" s="19"/>
    </row>
    <row r="50" spans="1:9" x14ac:dyDescent="0.25">
      <c r="A50" s="133"/>
      <c r="B50" s="173"/>
      <c r="C50" s="92" t="s">
        <v>61</v>
      </c>
      <c r="D50" s="99" t="s">
        <v>68</v>
      </c>
      <c r="E50" s="101">
        <f>E48+1</f>
        <v>3</v>
      </c>
      <c r="F50" s="95"/>
      <c r="G50" s="96" t="s">
        <v>9</v>
      </c>
      <c r="H50" s="97"/>
      <c r="I50" s="19"/>
    </row>
    <row r="51" spans="1:9" x14ac:dyDescent="0.25">
      <c r="A51" s="133">
        <f>SUM(A12:A50)</f>
        <v>22032.83</v>
      </c>
      <c r="B51" s="133">
        <f>SUM(B12:B50)</f>
        <v>17522.169999999998</v>
      </c>
      <c r="C51" s="91" t="s">
        <v>27</v>
      </c>
      <c r="D51" s="52" t="s">
        <v>64</v>
      </c>
      <c r="E51" s="90">
        <f>E48+3</f>
        <v>5</v>
      </c>
      <c r="F51" s="29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7" t="s">
        <v>142</v>
      </c>
      <c r="I54" s="19"/>
    </row>
    <row r="55" spans="1:9" x14ac:dyDescent="0.25">
      <c r="A55" s="42"/>
      <c r="B55" s="126"/>
      <c r="C55" s="43" t="s">
        <v>122</v>
      </c>
      <c r="D55" s="107">
        <v>43249</v>
      </c>
      <c r="E55" s="44"/>
      <c r="F55" s="45" t="s">
        <v>36</v>
      </c>
      <c r="G55" s="18"/>
      <c r="H55" s="398"/>
      <c r="I55" s="19"/>
    </row>
    <row r="56" spans="1:9" x14ac:dyDescent="0.25">
      <c r="A56" s="42"/>
      <c r="B56" s="126"/>
      <c r="C56" s="33" t="s">
        <v>123</v>
      </c>
      <c r="D56" s="176" t="s">
        <v>246</v>
      </c>
      <c r="E56" s="46"/>
      <c r="F56" s="2" t="s">
        <v>244</v>
      </c>
      <c r="G56" s="18"/>
      <c r="H56" s="399" t="e">
        <f>DATEDIF(E3,D58,"m")&amp;"mois"&amp;DATEDIF(E3,D58,"md")&amp;"jours"</f>
        <v>#VALUE!</v>
      </c>
      <c r="I56" s="19"/>
    </row>
    <row r="57" spans="1:9" ht="15.75" thickBot="1" x14ac:dyDescent="0.3">
      <c r="A57" s="42"/>
      <c r="B57" s="126"/>
      <c r="C57" s="33" t="s">
        <v>31</v>
      </c>
      <c r="D57" s="176" t="s">
        <v>245</v>
      </c>
      <c r="E57" s="46"/>
      <c r="F57" s="2"/>
      <c r="G57" s="18"/>
      <c r="H57" s="400"/>
      <c r="I57" s="19"/>
    </row>
    <row r="58" spans="1:9" x14ac:dyDescent="0.25">
      <c r="A58" s="42"/>
      <c r="B58" s="126"/>
      <c r="C58" s="47" t="s">
        <v>32</v>
      </c>
      <c r="D58" s="184" t="s">
        <v>247</v>
      </c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1"/>
      <c r="D60" s="371"/>
      <c r="E60" s="371"/>
      <c r="F60" s="371"/>
      <c r="G60" s="371"/>
      <c r="H60" s="371"/>
      <c r="I60" s="372"/>
    </row>
    <row r="61" spans="1:9" x14ac:dyDescent="0.25">
      <c r="A61" s="34"/>
      <c r="B61" s="18"/>
      <c r="C61" s="373"/>
      <c r="D61" s="373"/>
      <c r="E61" s="373"/>
      <c r="F61" s="373"/>
      <c r="G61" s="373"/>
      <c r="H61" s="373"/>
      <c r="I61" s="374"/>
    </row>
    <row r="62" spans="1:9" x14ac:dyDescent="0.25">
      <c r="A62" s="34">
        <f>SUM(A12:A52)</f>
        <v>44065.66</v>
      </c>
      <c r="B62" s="18"/>
      <c r="C62" s="373"/>
      <c r="D62" s="373"/>
      <c r="E62" s="373"/>
      <c r="F62" s="373"/>
      <c r="G62" s="373"/>
      <c r="H62" s="373"/>
      <c r="I62" s="374"/>
    </row>
    <row r="63" spans="1:9" x14ac:dyDescent="0.25">
      <c r="A63" s="34"/>
      <c r="B63" s="18"/>
      <c r="C63" s="373"/>
      <c r="D63" s="373"/>
      <c r="E63" s="373"/>
      <c r="F63" s="373"/>
      <c r="G63" s="373"/>
      <c r="H63" s="373"/>
      <c r="I63" s="374"/>
    </row>
    <row r="64" spans="1:9" x14ac:dyDescent="0.25">
      <c r="A64" s="34"/>
      <c r="B64" s="18"/>
      <c r="C64" s="373"/>
      <c r="D64" s="373"/>
      <c r="E64" s="373"/>
      <c r="F64" s="373"/>
      <c r="G64" s="373"/>
      <c r="H64" s="373"/>
      <c r="I64" s="374"/>
    </row>
    <row r="65" spans="1:9" x14ac:dyDescent="0.25">
      <c r="A65" s="44"/>
      <c r="B65" s="45"/>
      <c r="C65" s="375"/>
      <c r="D65" s="375"/>
      <c r="E65" s="375"/>
      <c r="F65" s="375"/>
      <c r="G65" s="375"/>
      <c r="H65" s="375"/>
      <c r="I65" s="376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A1:G1"/>
    <mergeCell ref="A2:B2"/>
    <mergeCell ref="E2:F2"/>
    <mergeCell ref="H2:I2"/>
    <mergeCell ref="A3:B3"/>
    <mergeCell ref="E3:F3"/>
    <mergeCell ref="H3:I3"/>
    <mergeCell ref="H54:H55"/>
    <mergeCell ref="H56:H57"/>
    <mergeCell ref="C60:I65"/>
    <mergeCell ref="E4:F4"/>
    <mergeCell ref="A5:B5"/>
    <mergeCell ref="A6:B6"/>
    <mergeCell ref="C6:H6"/>
    <mergeCell ref="C27:H27"/>
    <mergeCell ref="C46:H46"/>
  </mergeCells>
  <conditionalFormatting sqref="C52:G52">
    <cfRule type="expression" dxfId="148" priority="70">
      <formula>$F52="réalisé"</formula>
    </cfRule>
  </conditionalFormatting>
  <conditionalFormatting sqref="C48:C51 E48:H51 E29:H45 C8:H26">
    <cfRule type="expression" dxfId="147" priority="67">
      <formula>$G8="réalisé"</formula>
    </cfRule>
    <cfRule type="expression" dxfId="146" priority="68">
      <formula>$G8="en cours"</formula>
    </cfRule>
    <cfRule type="expression" dxfId="145" priority="69">
      <formula>$G8="non compris"</formula>
    </cfRule>
  </conditionalFormatting>
  <conditionalFormatting sqref="C29:C45">
    <cfRule type="expression" dxfId="144" priority="64">
      <formula>$G29="réalisé"</formula>
    </cfRule>
    <cfRule type="expression" dxfId="143" priority="65">
      <formula>$G29="en cours"</formula>
    </cfRule>
    <cfRule type="expression" dxfId="142" priority="66">
      <formula>$G29="non compris"</formula>
    </cfRule>
  </conditionalFormatting>
  <conditionalFormatting sqref="C55:F58">
    <cfRule type="expression" dxfId="141" priority="63">
      <formula>$F55="réalisé"</formula>
    </cfRule>
  </conditionalFormatting>
  <conditionalFormatting sqref="G9">
    <cfRule type="expression" dxfId="140" priority="62">
      <formula>$G$10="réalisé"</formula>
    </cfRule>
  </conditionalFormatting>
  <conditionalFormatting sqref="G10:G14">
    <cfRule type="expression" dxfId="139" priority="61">
      <formula>$G$15="réalisé"</formula>
    </cfRule>
  </conditionalFormatting>
  <conditionalFormatting sqref="G20:G21">
    <cfRule type="expression" dxfId="138" priority="60">
      <formula>$G$22="réalisé"</formula>
    </cfRule>
  </conditionalFormatting>
  <conditionalFormatting sqref="G30">
    <cfRule type="expression" dxfId="137" priority="59">
      <formula>$G$31="réalisé"</formula>
    </cfRule>
  </conditionalFormatting>
  <conditionalFormatting sqref="D29">
    <cfRule type="expression" dxfId="136" priority="56">
      <formula>$G29="réalisé"</formula>
    </cfRule>
    <cfRule type="expression" dxfId="135" priority="57">
      <formula>$G29="en cours"</formula>
    </cfRule>
    <cfRule type="expression" dxfId="134" priority="58">
      <formula>$G29="non compris"</formula>
    </cfRule>
  </conditionalFormatting>
  <conditionalFormatting sqref="D31">
    <cfRule type="expression" dxfId="133" priority="53">
      <formula>$G31="réalisé"</formula>
    </cfRule>
    <cfRule type="expression" dxfId="132" priority="54">
      <formula>$G31="en cours"</formula>
    </cfRule>
    <cfRule type="expression" dxfId="131" priority="55">
      <formula>$G31="non compris"</formula>
    </cfRule>
  </conditionalFormatting>
  <conditionalFormatting sqref="D33">
    <cfRule type="expression" dxfId="130" priority="50">
      <formula>$G33="réalisé"</formula>
    </cfRule>
    <cfRule type="expression" dxfId="129" priority="51">
      <formula>$G33="en cours"</formula>
    </cfRule>
    <cfRule type="expression" dxfId="128" priority="52">
      <formula>$G33="non compris"</formula>
    </cfRule>
  </conditionalFormatting>
  <conditionalFormatting sqref="D35">
    <cfRule type="expression" dxfId="127" priority="47">
      <formula>$G35="réalisé"</formula>
    </cfRule>
    <cfRule type="expression" dxfId="126" priority="48">
      <formula>$G35="en cours"</formula>
    </cfRule>
    <cfRule type="expression" dxfId="125" priority="49">
      <formula>$G35="non compris"</formula>
    </cfRule>
  </conditionalFormatting>
  <conditionalFormatting sqref="D37">
    <cfRule type="expression" dxfId="124" priority="44">
      <formula>$G37="réalisé"</formula>
    </cfRule>
    <cfRule type="expression" dxfId="123" priority="45">
      <formula>$G37="en cours"</formula>
    </cfRule>
    <cfRule type="expression" dxfId="122" priority="46">
      <formula>$G37="non compris"</formula>
    </cfRule>
  </conditionalFormatting>
  <conditionalFormatting sqref="D39">
    <cfRule type="expression" dxfId="121" priority="41">
      <formula>$G39="réalisé"</formula>
    </cfRule>
    <cfRule type="expression" dxfId="120" priority="42">
      <formula>$G39="en cours"</formula>
    </cfRule>
    <cfRule type="expression" dxfId="119" priority="43">
      <formula>$G39="non compris"</formula>
    </cfRule>
  </conditionalFormatting>
  <conditionalFormatting sqref="D41">
    <cfRule type="expression" dxfId="118" priority="38">
      <formula>$G41="réalisé"</formula>
    </cfRule>
    <cfRule type="expression" dxfId="117" priority="39">
      <formula>$G41="en cours"</formula>
    </cfRule>
    <cfRule type="expression" dxfId="116" priority="40">
      <formula>$G41="non compris"</formula>
    </cfRule>
  </conditionalFormatting>
  <conditionalFormatting sqref="D44:D45">
    <cfRule type="expression" dxfId="115" priority="35">
      <formula>$G44="réalisé"</formula>
    </cfRule>
    <cfRule type="expression" dxfId="114" priority="36">
      <formula>$G44="en cours"</formula>
    </cfRule>
    <cfRule type="expression" dxfId="113" priority="37">
      <formula>$G44="non compris"</formula>
    </cfRule>
  </conditionalFormatting>
  <conditionalFormatting sqref="D30">
    <cfRule type="expression" dxfId="112" priority="32">
      <formula>$G30="réalisé"</formula>
    </cfRule>
    <cfRule type="expression" dxfId="111" priority="33">
      <formula>$G30="en cours"</formula>
    </cfRule>
    <cfRule type="expression" dxfId="110" priority="34">
      <formula>$G30="non compris"</formula>
    </cfRule>
  </conditionalFormatting>
  <conditionalFormatting sqref="D32">
    <cfRule type="expression" dxfId="109" priority="29">
      <formula>$G32="réalisé"</formula>
    </cfRule>
    <cfRule type="expression" dxfId="108" priority="30">
      <formula>$G32="en cours"</formula>
    </cfRule>
    <cfRule type="expression" dxfId="107" priority="31">
      <formula>$G32="non compris"</formula>
    </cfRule>
  </conditionalFormatting>
  <conditionalFormatting sqref="D34">
    <cfRule type="expression" dxfId="106" priority="26">
      <formula>$G34="réalisé"</formula>
    </cfRule>
    <cfRule type="expression" dxfId="105" priority="27">
      <formula>$G34="en cours"</formula>
    </cfRule>
    <cfRule type="expression" dxfId="104" priority="28">
      <formula>$G34="non compris"</formula>
    </cfRule>
  </conditionalFormatting>
  <conditionalFormatting sqref="D36">
    <cfRule type="expression" dxfId="103" priority="23">
      <formula>$G36="réalisé"</formula>
    </cfRule>
    <cfRule type="expression" dxfId="102" priority="24">
      <formula>$G36="en cours"</formula>
    </cfRule>
    <cfRule type="expression" dxfId="101" priority="25">
      <formula>$G36="non compris"</formula>
    </cfRule>
  </conditionalFormatting>
  <conditionalFormatting sqref="D38">
    <cfRule type="expression" dxfId="100" priority="20">
      <formula>$G38="réalisé"</formula>
    </cfRule>
    <cfRule type="expression" dxfId="99" priority="21">
      <formula>$G38="en cours"</formula>
    </cfRule>
    <cfRule type="expression" dxfId="98" priority="22">
      <formula>$G38="non compris"</formula>
    </cfRule>
  </conditionalFormatting>
  <conditionalFormatting sqref="D40">
    <cfRule type="expression" dxfId="97" priority="17">
      <formula>$G40="réalisé"</formula>
    </cfRule>
    <cfRule type="expression" dxfId="96" priority="18">
      <formula>$G40="en cours"</formula>
    </cfRule>
    <cfRule type="expression" dxfId="95" priority="19">
      <formula>$G40="non compris"</formula>
    </cfRule>
  </conditionalFormatting>
  <conditionalFormatting sqref="D42:D43">
    <cfRule type="expression" dxfId="94" priority="14">
      <formula>$G42="réalisé"</formula>
    </cfRule>
    <cfRule type="expression" dxfId="93" priority="15">
      <formula>$G42="en cours"</formula>
    </cfRule>
    <cfRule type="expression" dxfId="92" priority="16">
      <formula>$G42="non compris"</formula>
    </cfRule>
  </conditionalFormatting>
  <conditionalFormatting sqref="D50">
    <cfRule type="expression" dxfId="91" priority="11">
      <formula>$G50="réalisé"</formula>
    </cfRule>
    <cfRule type="expression" dxfId="90" priority="12">
      <formula>$G50="en cours"</formula>
    </cfRule>
    <cfRule type="expression" dxfId="89" priority="13">
      <formula>$G50="non compris"</formula>
    </cfRule>
  </conditionalFormatting>
  <conditionalFormatting sqref="D49">
    <cfRule type="expression" dxfId="88" priority="8">
      <formula>$G49="réalisé"</formula>
    </cfRule>
    <cfRule type="expression" dxfId="87" priority="9">
      <formula>$G49="en cours"</formula>
    </cfRule>
    <cfRule type="expression" dxfId="86" priority="10">
      <formula>$G49="non compris"</formula>
    </cfRule>
  </conditionalFormatting>
  <conditionalFormatting sqref="D48">
    <cfRule type="expression" dxfId="85" priority="5">
      <formula>$G48="réalisé"</formula>
    </cfRule>
    <cfRule type="expression" dxfId="84" priority="6">
      <formula>$G48="en cours"</formula>
    </cfRule>
    <cfRule type="expression" dxfId="83" priority="7">
      <formula>$G48="non compris"</formula>
    </cfRule>
  </conditionalFormatting>
  <conditionalFormatting sqref="D51">
    <cfRule type="expression" dxfId="82" priority="2">
      <formula>$G51="réalisé"</formula>
    </cfRule>
    <cfRule type="expression" dxfId="81" priority="3">
      <formula>$G51="en cours"</formula>
    </cfRule>
    <cfRule type="expression" dxfId="80" priority="4">
      <formula>$G51="non compris"</formula>
    </cfRule>
  </conditionalFormatting>
  <conditionalFormatting sqref="D8:D26">
    <cfRule type="expression" dxfId="79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8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F60"/>
  <sheetViews>
    <sheetView showWhiteSpace="0" topLeftCell="A37" zoomScaleNormal="100" workbookViewId="0">
      <selection activeCell="D45" sqref="D45"/>
    </sheetView>
  </sheetViews>
  <sheetFormatPr baseColWidth="10" defaultRowHeight="15" x14ac:dyDescent="0.25"/>
  <cols>
    <col min="1" max="1" width="13.85546875" customWidth="1"/>
    <col min="4" max="4" width="29" customWidth="1"/>
    <col min="5" max="5" width="33.140625" style="276" customWidth="1"/>
  </cols>
  <sheetData>
    <row r="1" spans="1:6" x14ac:dyDescent="0.25">
      <c r="D1" s="71">
        <f ca="1">TODAY()</f>
        <v>43385</v>
      </c>
    </row>
    <row r="2" spans="1:6" x14ac:dyDescent="0.25">
      <c r="A2" t="s">
        <v>34</v>
      </c>
      <c r="B2" t="s">
        <v>9</v>
      </c>
    </row>
    <row r="3" spans="1:6" x14ac:dyDescent="0.25">
      <c r="B3" t="s">
        <v>70</v>
      </c>
    </row>
    <row r="4" spans="1:6" x14ac:dyDescent="0.25">
      <c r="B4" t="s">
        <v>35</v>
      </c>
    </row>
    <row r="5" spans="1:6" x14ac:dyDescent="0.25">
      <c r="B5" t="s">
        <v>36</v>
      </c>
    </row>
    <row r="6" spans="1:6" x14ac:dyDescent="0.25">
      <c r="B6" t="s">
        <v>71</v>
      </c>
      <c r="F6" s="274" t="s">
        <v>170</v>
      </c>
    </row>
    <row r="8" spans="1:6" x14ac:dyDescent="0.25">
      <c r="A8" t="s">
        <v>81</v>
      </c>
      <c r="B8" t="s">
        <v>65</v>
      </c>
      <c r="D8" t="s">
        <v>99</v>
      </c>
    </row>
    <row r="9" spans="1:6" x14ac:dyDescent="0.25">
      <c r="B9" s="207" t="s">
        <v>64</v>
      </c>
      <c r="C9" s="207"/>
      <c r="D9" s="207"/>
      <c r="E9" s="277"/>
      <c r="F9" s="208"/>
    </row>
    <row r="10" spans="1:6" x14ac:dyDescent="0.25">
      <c r="B10" s="207" t="s">
        <v>206</v>
      </c>
      <c r="C10" s="207"/>
      <c r="D10" s="209" t="s">
        <v>207</v>
      </c>
      <c r="E10" s="278"/>
      <c r="F10" s="208" t="s">
        <v>171</v>
      </c>
    </row>
    <row r="11" spans="1:6" x14ac:dyDescent="0.25">
      <c r="B11" s="207" t="s">
        <v>39</v>
      </c>
      <c r="C11" s="207"/>
      <c r="D11" s="209" t="s">
        <v>82</v>
      </c>
      <c r="E11" s="278"/>
      <c r="F11" s="208"/>
    </row>
    <row r="12" spans="1:6" x14ac:dyDescent="0.25">
      <c r="B12" s="207" t="s">
        <v>174</v>
      </c>
      <c r="C12" s="207"/>
      <c r="D12" s="209" t="s">
        <v>175</v>
      </c>
      <c r="E12" s="278"/>
      <c r="F12" s="208"/>
    </row>
    <row r="13" spans="1:6" x14ac:dyDescent="0.25">
      <c r="B13" s="207" t="s">
        <v>58</v>
      </c>
      <c r="C13" s="207"/>
      <c r="D13" s="209" t="s">
        <v>83</v>
      </c>
      <c r="E13" s="278"/>
      <c r="F13" s="208" t="s">
        <v>232</v>
      </c>
    </row>
    <row r="14" spans="1:6" x14ac:dyDescent="0.25">
      <c r="B14" s="207" t="s">
        <v>209</v>
      </c>
      <c r="C14" s="207"/>
      <c r="D14" s="209" t="s">
        <v>226</v>
      </c>
      <c r="E14" s="278"/>
      <c r="F14" s="208" t="s">
        <v>171</v>
      </c>
    </row>
    <row r="15" spans="1:6" x14ac:dyDescent="0.25">
      <c r="B15" s="207" t="s">
        <v>40</v>
      </c>
      <c r="C15" s="207"/>
      <c r="D15" s="209" t="s">
        <v>84</v>
      </c>
      <c r="E15" s="278"/>
      <c r="F15" s="208"/>
    </row>
    <row r="16" spans="1:6" x14ac:dyDescent="0.25">
      <c r="B16" s="207" t="s">
        <v>54</v>
      </c>
      <c r="C16" s="207"/>
      <c r="D16" s="209" t="s">
        <v>85</v>
      </c>
      <c r="E16" s="278"/>
      <c r="F16" s="208" t="s">
        <v>171</v>
      </c>
    </row>
    <row r="17" spans="1:6" x14ac:dyDescent="0.25">
      <c r="B17" s="207" t="s">
        <v>52</v>
      </c>
      <c r="C17" s="207"/>
      <c r="D17" s="209" t="s">
        <v>86</v>
      </c>
      <c r="E17" s="278"/>
      <c r="F17" s="208" t="s">
        <v>171</v>
      </c>
    </row>
    <row r="18" spans="1:6" x14ac:dyDescent="0.25">
      <c r="B18" s="207" t="s">
        <v>49</v>
      </c>
      <c r="C18" s="207"/>
      <c r="D18" s="209" t="s">
        <v>87</v>
      </c>
      <c r="E18" s="278"/>
      <c r="F18" s="208" t="s">
        <v>171</v>
      </c>
    </row>
    <row r="19" spans="1:6" x14ac:dyDescent="0.25">
      <c r="B19" s="207" t="s">
        <v>111</v>
      </c>
      <c r="C19" s="207"/>
      <c r="D19" s="209" t="s">
        <v>110</v>
      </c>
      <c r="E19" s="278"/>
      <c r="F19" s="208" t="s">
        <v>171</v>
      </c>
    </row>
    <row r="20" spans="1:6" x14ac:dyDescent="0.25">
      <c r="B20" s="207" t="s">
        <v>53</v>
      </c>
      <c r="C20" s="207"/>
      <c r="D20" s="209" t="s">
        <v>88</v>
      </c>
      <c r="E20" s="278"/>
      <c r="F20" s="208"/>
    </row>
    <row r="21" spans="1:6" x14ac:dyDescent="0.25">
      <c r="B21" s="207" t="s">
        <v>208</v>
      </c>
      <c r="C21" s="207"/>
      <c r="D21" s="209" t="s">
        <v>240</v>
      </c>
      <c r="E21" s="278"/>
      <c r="F21" s="208"/>
    </row>
    <row r="22" spans="1:6" x14ac:dyDescent="0.25">
      <c r="B22" s="207" t="s">
        <v>114</v>
      </c>
      <c r="C22" s="207"/>
      <c r="D22" s="209" t="s">
        <v>113</v>
      </c>
      <c r="E22" s="278"/>
      <c r="F22" s="208"/>
    </row>
    <row r="23" spans="1:6" x14ac:dyDescent="0.25">
      <c r="A23" t="s">
        <v>91</v>
      </c>
      <c r="B23" s="207" t="s">
        <v>46</v>
      </c>
      <c r="C23" s="207"/>
      <c r="D23" s="209" t="s">
        <v>105</v>
      </c>
      <c r="E23" s="278"/>
      <c r="F23" s="208"/>
    </row>
    <row r="24" spans="1:6" x14ac:dyDescent="0.25">
      <c r="B24" s="207" t="s">
        <v>51</v>
      </c>
      <c r="C24" s="207"/>
      <c r="D24" s="209" t="s">
        <v>92</v>
      </c>
      <c r="E24" s="278"/>
      <c r="F24" s="208" t="s">
        <v>171</v>
      </c>
    </row>
    <row r="25" spans="1:6" x14ac:dyDescent="0.25">
      <c r="B25" s="207" t="s">
        <v>90</v>
      </c>
      <c r="C25" s="207"/>
      <c r="D25" s="209" t="s">
        <v>89</v>
      </c>
      <c r="E25" s="278"/>
      <c r="F25" s="208" t="s">
        <v>171</v>
      </c>
    </row>
    <row r="26" spans="1:6" x14ac:dyDescent="0.25">
      <c r="B26" s="207" t="s">
        <v>189</v>
      </c>
      <c r="C26" s="207"/>
      <c r="D26" s="209" t="s">
        <v>190</v>
      </c>
      <c r="E26" s="278"/>
      <c r="F26" s="208"/>
    </row>
    <row r="27" spans="1:6" x14ac:dyDescent="0.25">
      <c r="B27" s="207"/>
      <c r="C27" s="207"/>
      <c r="D27" s="209" t="s">
        <v>344</v>
      </c>
      <c r="E27" s="278"/>
      <c r="F27" s="208"/>
    </row>
    <row r="28" spans="1:6" x14ac:dyDescent="0.25">
      <c r="B28" s="207" t="s">
        <v>196</v>
      </c>
      <c r="C28" s="207"/>
      <c r="D28" s="209"/>
      <c r="E28" s="278"/>
      <c r="F28" s="208"/>
    </row>
    <row r="29" spans="1:6" x14ac:dyDescent="0.25">
      <c r="B29" s="207" t="s">
        <v>56</v>
      </c>
      <c r="C29" s="207"/>
      <c r="D29" s="209" t="s">
        <v>149</v>
      </c>
      <c r="E29" s="278"/>
      <c r="F29" s="208"/>
    </row>
    <row r="30" spans="1:6" x14ac:dyDescent="0.25">
      <c r="B30" s="207"/>
      <c r="C30" s="207"/>
      <c r="D30" s="209" t="s">
        <v>356</v>
      </c>
      <c r="E30" s="278" t="s">
        <v>242</v>
      </c>
      <c r="F30" s="208"/>
    </row>
    <row r="31" spans="1:6" x14ac:dyDescent="0.25">
      <c r="B31" s="207" t="s">
        <v>41</v>
      </c>
      <c r="C31" s="207"/>
      <c r="D31" s="209" t="s">
        <v>101</v>
      </c>
      <c r="E31" s="278"/>
      <c r="F31" s="208" t="s">
        <v>171</v>
      </c>
    </row>
    <row r="32" spans="1:6" x14ac:dyDescent="0.25">
      <c r="B32" s="207" t="s">
        <v>48</v>
      </c>
      <c r="C32" s="207"/>
      <c r="D32" s="209" t="s">
        <v>102</v>
      </c>
      <c r="E32" s="278"/>
      <c r="F32" s="208"/>
    </row>
    <row r="33" spans="2:6" x14ac:dyDescent="0.25">
      <c r="B33" s="207" t="s">
        <v>271</v>
      </c>
      <c r="C33" s="207"/>
      <c r="D33" s="209" t="s">
        <v>272</v>
      </c>
      <c r="E33" s="278"/>
      <c r="F33" s="208"/>
    </row>
    <row r="34" spans="2:6" x14ac:dyDescent="0.25">
      <c r="B34" s="207" t="s">
        <v>50</v>
      </c>
      <c r="C34" s="207"/>
      <c r="D34" s="209" t="s">
        <v>93</v>
      </c>
      <c r="E34" s="278"/>
      <c r="F34" s="208" t="s">
        <v>171</v>
      </c>
    </row>
    <row r="35" spans="2:6" ht="15" customHeight="1" x14ac:dyDescent="0.25">
      <c r="B35" s="207" t="s">
        <v>45</v>
      </c>
      <c r="C35" s="207"/>
      <c r="D35" s="209" t="s">
        <v>224</v>
      </c>
      <c r="E35" s="278"/>
      <c r="F35" s="208" t="s">
        <v>171</v>
      </c>
    </row>
    <row r="36" spans="2:6" ht="15" customHeight="1" x14ac:dyDescent="0.25">
      <c r="B36" s="207" t="s">
        <v>176</v>
      </c>
      <c r="C36" s="207"/>
      <c r="D36" s="209" t="s">
        <v>177</v>
      </c>
      <c r="E36" s="278"/>
      <c r="F36" s="208"/>
    </row>
    <row r="37" spans="2:6" ht="15" customHeight="1" x14ac:dyDescent="0.25">
      <c r="B37" s="207" t="s">
        <v>55</v>
      </c>
      <c r="C37" s="207"/>
      <c r="D37" s="210" t="s">
        <v>94</v>
      </c>
      <c r="E37" s="279"/>
      <c r="F37" s="208" t="s">
        <v>171</v>
      </c>
    </row>
    <row r="38" spans="2:6" ht="15" customHeight="1" x14ac:dyDescent="0.25">
      <c r="B38" s="207"/>
      <c r="C38" s="207"/>
      <c r="D38" s="209" t="s">
        <v>95</v>
      </c>
      <c r="E38" s="278"/>
      <c r="F38" s="208"/>
    </row>
    <row r="39" spans="2:6" ht="15" customHeight="1" x14ac:dyDescent="0.25">
      <c r="B39" s="207" t="s">
        <v>128</v>
      </c>
      <c r="C39" s="207"/>
      <c r="D39" s="209" t="s">
        <v>129</v>
      </c>
      <c r="E39" s="278"/>
      <c r="F39" s="208"/>
    </row>
    <row r="40" spans="2:6" x14ac:dyDescent="0.25">
      <c r="B40" s="207" t="s">
        <v>44</v>
      </c>
      <c r="C40" s="207"/>
      <c r="D40" s="209" t="s">
        <v>112</v>
      </c>
      <c r="E40" s="278"/>
      <c r="F40" s="208"/>
    </row>
    <row r="41" spans="2:6" x14ac:dyDescent="0.25">
      <c r="B41" s="207" t="s">
        <v>68</v>
      </c>
      <c r="C41" s="207"/>
      <c r="D41" s="209" t="s">
        <v>225</v>
      </c>
      <c r="E41" s="278"/>
      <c r="F41" s="208"/>
    </row>
    <row r="42" spans="2:6" x14ac:dyDescent="0.25">
      <c r="B42" s="207" t="s">
        <v>167</v>
      </c>
      <c r="C42" s="207"/>
      <c r="D42" s="209" t="s">
        <v>168</v>
      </c>
      <c r="E42" s="278"/>
      <c r="F42" s="208"/>
    </row>
    <row r="43" spans="2:6" x14ac:dyDescent="0.25">
      <c r="B43" s="207"/>
      <c r="C43" s="207"/>
      <c r="D43" s="209" t="s">
        <v>169</v>
      </c>
      <c r="E43" s="278"/>
      <c r="F43" s="208"/>
    </row>
    <row r="44" spans="2:6" x14ac:dyDescent="0.25">
      <c r="B44" s="207" t="s">
        <v>42</v>
      </c>
      <c r="C44" s="207"/>
      <c r="D44" s="209" t="s">
        <v>203</v>
      </c>
      <c r="E44" s="278"/>
      <c r="F44" s="208"/>
    </row>
    <row r="45" spans="2:6" x14ac:dyDescent="0.25">
      <c r="B45" s="207" t="s">
        <v>227</v>
      </c>
      <c r="C45" s="207"/>
      <c r="D45" s="209" t="s">
        <v>249</v>
      </c>
      <c r="E45" s="278"/>
      <c r="F45" s="208" t="s">
        <v>171</v>
      </c>
    </row>
    <row r="46" spans="2:6" x14ac:dyDescent="0.25">
      <c r="B46" s="207" t="s">
        <v>204</v>
      </c>
      <c r="C46" s="207"/>
      <c r="D46" s="209" t="s">
        <v>205</v>
      </c>
      <c r="E46" s="278"/>
      <c r="F46" s="208" t="s">
        <v>171</v>
      </c>
    </row>
    <row r="47" spans="2:6" x14ac:dyDescent="0.25">
      <c r="B47" s="207" t="s">
        <v>47</v>
      </c>
      <c r="C47" s="207"/>
      <c r="D47" s="209" t="s">
        <v>223</v>
      </c>
      <c r="E47" s="278"/>
      <c r="F47" s="208"/>
    </row>
    <row r="48" spans="2:6" x14ac:dyDescent="0.25">
      <c r="B48" s="207" t="s">
        <v>74</v>
      </c>
      <c r="C48" s="207"/>
      <c r="D48" s="209" t="s">
        <v>104</v>
      </c>
      <c r="E48" s="278"/>
      <c r="F48" s="208"/>
    </row>
    <row r="49" spans="1:6" x14ac:dyDescent="0.25">
      <c r="B49" s="207" t="s">
        <v>43</v>
      </c>
      <c r="C49" s="207"/>
      <c r="D49" s="209" t="s">
        <v>96</v>
      </c>
      <c r="E49" s="278"/>
      <c r="F49" s="208" t="s">
        <v>171</v>
      </c>
    </row>
    <row r="50" spans="1:6" x14ac:dyDescent="0.25">
      <c r="B50" s="207"/>
      <c r="C50" s="207"/>
      <c r="D50" s="209" t="s">
        <v>150</v>
      </c>
      <c r="E50" s="278"/>
      <c r="F50" s="208"/>
    </row>
    <row r="51" spans="1:6" x14ac:dyDescent="0.25">
      <c r="B51" s="207"/>
      <c r="C51" s="207"/>
      <c r="D51" s="209" t="s">
        <v>182</v>
      </c>
      <c r="E51" s="278"/>
      <c r="F51" s="208"/>
    </row>
    <row r="52" spans="1:6" x14ac:dyDescent="0.25">
      <c r="B52" s="207" t="s">
        <v>57</v>
      </c>
      <c r="C52" s="207"/>
      <c r="D52" s="209" t="s">
        <v>97</v>
      </c>
      <c r="E52" s="278"/>
      <c r="F52" s="208"/>
    </row>
    <row r="53" spans="1:6" x14ac:dyDescent="0.25">
      <c r="B53" s="207"/>
      <c r="C53" s="207"/>
      <c r="D53" s="209" t="s">
        <v>100</v>
      </c>
      <c r="E53" s="278"/>
      <c r="F53" s="208"/>
    </row>
    <row r="54" spans="1:6" x14ac:dyDescent="0.25">
      <c r="B54" s="207" t="s">
        <v>38</v>
      </c>
      <c r="C54" s="207"/>
      <c r="D54" s="209" t="s">
        <v>98</v>
      </c>
      <c r="E54" s="278"/>
      <c r="F54" s="208" t="s">
        <v>171</v>
      </c>
    </row>
    <row r="57" spans="1:6" x14ac:dyDescent="0.25">
      <c r="A57" t="s">
        <v>118</v>
      </c>
      <c r="B57" t="s">
        <v>119</v>
      </c>
    </row>
    <row r="58" spans="1:6" x14ac:dyDescent="0.25">
      <c r="B58" t="s">
        <v>237</v>
      </c>
    </row>
    <row r="59" spans="1:6" x14ac:dyDescent="0.25">
      <c r="B59" t="s">
        <v>120</v>
      </c>
    </row>
    <row r="60" spans="1:6" x14ac:dyDescent="0.25">
      <c r="B60" t="s">
        <v>121</v>
      </c>
    </row>
  </sheetData>
  <sortState ref="B8:C39">
    <sortCondition ref="B8"/>
  </sortState>
  <dataConsolidate/>
  <dataValidations count="2">
    <dataValidation showInputMessage="1" showErrorMessage="1" sqref="A8"/>
    <dataValidation type="list" allowBlank="1" showInputMessage="1" showErrorMessage="1" sqref="F8">
      <formula1>"Entreprises"</formula1>
    </dataValidation>
  </dataValidations>
  <hyperlinks>
    <hyperlink ref="D11" r:id="rId1"/>
    <hyperlink ref="D13" r:id="rId2"/>
    <hyperlink ref="D15" r:id="rId3"/>
    <hyperlink ref="D16" r:id="rId4"/>
    <hyperlink ref="D17" r:id="rId5"/>
    <hyperlink ref="D18" r:id="rId6"/>
    <hyperlink ref="D20" r:id="rId7"/>
    <hyperlink ref="D31" r:id="rId8"/>
    <hyperlink ref="D32" r:id="rId9"/>
    <hyperlink ref="D25" r:id="rId10"/>
    <hyperlink ref="D24" r:id="rId11"/>
    <hyperlink ref="D34" r:id="rId12"/>
    <hyperlink ref="D35" r:id="rId13"/>
    <hyperlink ref="D37" r:id="rId14"/>
    <hyperlink ref="D38" r:id="rId15"/>
    <hyperlink ref="D44" r:id="rId16"/>
    <hyperlink ref="D47" r:id="rId17"/>
    <hyperlink ref="D49" r:id="rId18"/>
    <hyperlink ref="D52" r:id="rId19"/>
    <hyperlink ref="D54" r:id="rId20"/>
    <hyperlink ref="D53" r:id="rId21"/>
    <hyperlink ref="D29" r:id="rId22"/>
    <hyperlink ref="D48" r:id="rId23"/>
    <hyperlink ref="D19" r:id="rId24"/>
    <hyperlink ref="D40" r:id="rId25"/>
    <hyperlink ref="D39" r:id="rId26"/>
    <hyperlink ref="D50" r:id="rId27" display="mailto:dalmelet@soprema.fr"/>
    <hyperlink ref="D42" r:id="rId28"/>
    <hyperlink ref="D43" r:id="rId29"/>
    <hyperlink ref="D12" r:id="rId30"/>
    <hyperlink ref="D36" r:id="rId31"/>
    <hyperlink ref="D51" r:id="rId32"/>
    <hyperlink ref="D26" r:id="rId33"/>
    <hyperlink ref="D46" r:id="rId34"/>
    <hyperlink ref="D10" r:id="rId35"/>
    <hyperlink ref="D41" r:id="rId36"/>
    <hyperlink ref="D14" r:id="rId37"/>
    <hyperlink ref="D21" r:id="rId38"/>
    <hyperlink ref="D30" r:id="rId39"/>
    <hyperlink ref="D33" r:id="rId40"/>
    <hyperlink ref="D27" r:id="rId41"/>
    <hyperlink ref="D45" r:id="rId42"/>
  </hyperlinks>
  <pageMargins left="0" right="0" top="0" bottom="0" header="0.3" footer="0.3"/>
  <pageSetup paperSize="9" scale="79" orientation="portrait" r:id="rId43"/>
  <rowBreaks count="1" manualBreakCount="1">
    <brk id="56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D1"/>
  <sheetViews>
    <sheetView workbookViewId="0">
      <selection activeCell="E1" sqref="E1"/>
    </sheetView>
  </sheetViews>
  <sheetFormatPr baseColWidth="10" defaultRowHeight="15" x14ac:dyDescent="0.25"/>
  <sheetData>
    <row r="1" spans="1:4" x14ac:dyDescent="0.25">
      <c r="A1" t="s">
        <v>252</v>
      </c>
      <c r="B1" t="s">
        <v>253</v>
      </c>
      <c r="C1" t="s">
        <v>254</v>
      </c>
      <c r="D1" t="s">
        <v>255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34</vt:i4>
      </vt:variant>
      <vt:variant>
        <vt:lpstr>Plages nommées</vt:lpstr>
      </vt:variant>
      <vt:variant>
        <vt:i4>37</vt:i4>
      </vt:variant>
    </vt:vector>
  </HeadingPairs>
  <TitlesOfParts>
    <vt:vector size="71" baseType="lpstr">
      <vt:lpstr>AAA</vt:lpstr>
      <vt:lpstr>RECAP</vt:lpstr>
      <vt:lpstr>BATAILLE</vt:lpstr>
      <vt:lpstr>BECK-HUMMEL</vt:lpstr>
      <vt:lpstr>BREMENT</vt:lpstr>
      <vt:lpstr>BOUDISS</vt:lpstr>
      <vt:lpstr>BOUNYAVET</vt:lpstr>
      <vt:lpstr>DAVE</vt:lpstr>
      <vt:lpstr>DUSSART</vt:lpstr>
      <vt:lpstr>GAEHLER</vt:lpstr>
      <vt:lpstr>HACQUIN</vt:lpstr>
      <vt:lpstr>KEISER</vt:lpstr>
      <vt:lpstr>LAUTH-ROCH</vt:lpstr>
      <vt:lpstr>LAPORTE</vt:lpstr>
      <vt:lpstr>LEHMANN-VIXX</vt:lpstr>
      <vt:lpstr>MARTOS</vt:lpstr>
      <vt:lpstr>MEUNIER-SCHLEWITZ</vt:lpstr>
      <vt:lpstr>MICHEL-SCHWARTZ</vt:lpstr>
      <vt:lpstr>MOREAU</vt:lpstr>
      <vt:lpstr>NIESS</vt:lpstr>
      <vt:lpstr>OSTERTAG-RICHERT</vt:lpstr>
      <vt:lpstr>PECHEUR - RIPOL</vt:lpstr>
      <vt:lpstr>REPPERT</vt:lpstr>
      <vt:lpstr>ROMILLY</vt:lpstr>
      <vt:lpstr>ROSKIC</vt:lpstr>
      <vt:lpstr>SCHMITT</vt:lpstr>
      <vt:lpstr>SCHNEIDER-GOBERT</vt:lpstr>
      <vt:lpstr>TEDONE</vt:lpstr>
      <vt:lpstr>TRUNZER</vt:lpstr>
      <vt:lpstr>WETZEL</vt:lpstr>
      <vt:lpstr>WOOCK-HISLER</vt:lpstr>
      <vt:lpstr>ZYTO</vt:lpstr>
      <vt:lpstr>LISTE</vt:lpstr>
      <vt:lpstr>Frais de Métré</vt:lpstr>
      <vt:lpstr>Avancement</vt:lpstr>
      <vt:lpstr>Commercial</vt:lpstr>
      <vt:lpstr>Entreprises</vt:lpstr>
      <vt:lpstr>listemail</vt:lpstr>
      <vt:lpstr>mail</vt:lpstr>
      <vt:lpstr>AAA!Zone_d_impression</vt:lpstr>
      <vt:lpstr>BATAILLE!Zone_d_impression</vt:lpstr>
      <vt:lpstr>'BECK-HUMMEL'!Zone_d_impression</vt:lpstr>
      <vt:lpstr>BOUDISS!Zone_d_impression</vt:lpstr>
      <vt:lpstr>BOUNYAVET!Zone_d_impression</vt:lpstr>
      <vt:lpstr>BREMENT!Zone_d_impression</vt:lpstr>
      <vt:lpstr>DAVE!Zone_d_impression</vt:lpstr>
      <vt:lpstr>DUSSART!Zone_d_impression</vt:lpstr>
      <vt:lpstr>GAEHLER!Zone_d_impression</vt:lpstr>
      <vt:lpstr>HACQUIN!Zone_d_impression</vt:lpstr>
      <vt:lpstr>KEISER!Zone_d_impression</vt:lpstr>
      <vt:lpstr>LAPORTE!Zone_d_impression</vt:lpstr>
      <vt:lpstr>'LAUTH-ROCH'!Zone_d_impression</vt:lpstr>
      <vt:lpstr>'LEHMANN-VIXX'!Zone_d_impression</vt:lpstr>
      <vt:lpstr>MARTOS!Zone_d_impression</vt:lpstr>
      <vt:lpstr>'MEUNIER-SCHLEWITZ'!Zone_d_impression</vt:lpstr>
      <vt:lpstr>'MICHEL-SCHWARTZ'!Zone_d_impression</vt:lpstr>
      <vt:lpstr>MOREAU!Zone_d_impression</vt:lpstr>
      <vt:lpstr>NIESS!Zone_d_impression</vt:lpstr>
      <vt:lpstr>'OSTERTAG-RICHERT'!Zone_d_impression</vt:lpstr>
      <vt:lpstr>'PECHEUR - RIPOL'!Zone_d_impression</vt:lpstr>
      <vt:lpstr>RECAP!Zone_d_impression</vt:lpstr>
      <vt:lpstr>REPPERT!Zone_d_impression</vt:lpstr>
      <vt:lpstr>ROMILLY!Zone_d_impression</vt:lpstr>
      <vt:lpstr>ROSKIC!Zone_d_impression</vt:lpstr>
      <vt:lpstr>SCHMITT!Zone_d_impression</vt:lpstr>
      <vt:lpstr>'SCHNEIDER-GOBERT'!Zone_d_impression</vt:lpstr>
      <vt:lpstr>TEDONE!Zone_d_impression</vt:lpstr>
      <vt:lpstr>TRUNZER!Zone_d_impression</vt:lpstr>
      <vt:lpstr>WETZEL!Zone_d_impression</vt:lpstr>
      <vt:lpstr>'WOOCK-HISLER'!Zone_d_impression</vt:lpstr>
      <vt:lpstr>ZYTO!Zone_d_impression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Vpadowicz</dc:creator>
  <cp:lastModifiedBy>Vincent PADOWICZ</cp:lastModifiedBy>
  <cp:lastPrinted>2018-10-12T09:50:36Z</cp:lastPrinted>
  <dcterms:created xsi:type="dcterms:W3CDTF">2016-11-29T16:42:51Z</dcterms:created>
  <dcterms:modified xsi:type="dcterms:W3CDTF">2018-10-12T14:13:21Z</dcterms:modified>
</cp:coreProperties>
</file>