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E:\Etude de prix\"/>
    </mc:Choice>
  </mc:AlternateContent>
  <bookViews>
    <workbookView xWindow="32760" yWindow="465" windowWidth="28800" windowHeight="16920" tabRatio="825" activeTab="4"/>
  </bookViews>
  <sheets>
    <sheet name="Paramètrage ressources" sheetId="1" r:id="rId1"/>
    <sheet name="Coefs de Vente" sheetId="5" r:id="rId2"/>
    <sheet name="Ressources" sheetId="2" r:id="rId3"/>
    <sheet name="Sous détail de prix " sheetId="3" r:id="rId4"/>
    <sheet name="Etude" sheetId="6" r:id="rId5"/>
    <sheet name="Analyse d'étude" sheetId="7" r:id="rId6"/>
    <sheet name="Ressources utilisées" sheetId="8" r:id="rId7"/>
  </sheets>
  <definedNames>
    <definedName name="_xlnm._FilterDatabase" localSheetId="2" hidden="1">Ressources!$A$1:$J$148</definedName>
    <definedName name="_xlnm._FilterDatabase" localSheetId="3" hidden="1">'Sous détail de prix '!$A$1:$I$411</definedName>
    <definedName name="_xlnm.Print_Area" localSheetId="4">Etude!$C$1:$G$88</definedName>
  </definedNames>
  <calcPr calcId="162913" calcOnSave="0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7" i="6" l="1"/>
  <c r="F17" i="6"/>
  <c r="G17" i="6"/>
  <c r="G20" i="6"/>
  <c r="G32" i="6"/>
  <c r="G34" i="6"/>
  <c r="G36" i="6"/>
  <c r="B5" i="7"/>
  <c r="B4" i="7"/>
  <c r="B3" i="7"/>
  <c r="K25" i="6"/>
  <c r="J25" i="6"/>
  <c r="C25" i="6"/>
  <c r="D25" i="6"/>
  <c r="F25" i="6"/>
  <c r="G25" i="6"/>
  <c r="K3" i="6"/>
  <c r="K23" i="6"/>
  <c r="G312" i="3"/>
  <c r="H312" i="3"/>
  <c r="G313" i="3"/>
  <c r="H313" i="3"/>
  <c r="H314" i="3"/>
  <c r="G315" i="3"/>
  <c r="H315" i="3"/>
  <c r="G316" i="3"/>
  <c r="H316" i="3"/>
  <c r="G317" i="3"/>
  <c r="H317" i="3"/>
  <c r="G318" i="3"/>
  <c r="H318" i="3"/>
  <c r="G311" i="3"/>
  <c r="J23" i="6"/>
  <c r="F23" i="6"/>
  <c r="G23" i="6"/>
  <c r="K24" i="6"/>
  <c r="G321" i="3"/>
  <c r="H321" i="3"/>
  <c r="G322" i="3"/>
  <c r="H322" i="3"/>
  <c r="G323" i="3"/>
  <c r="H323" i="3"/>
  <c r="H324" i="3"/>
  <c r="G325" i="3"/>
  <c r="H325" i="3"/>
  <c r="G326" i="3"/>
  <c r="H326" i="3"/>
  <c r="G327" i="3"/>
  <c r="H327" i="3"/>
  <c r="G328" i="3"/>
  <c r="H328" i="3"/>
  <c r="G320" i="3"/>
  <c r="J24" i="6"/>
  <c r="F24" i="6"/>
  <c r="G24" i="6"/>
  <c r="K26" i="6"/>
  <c r="G350" i="3"/>
  <c r="H350" i="3"/>
  <c r="H351" i="3"/>
  <c r="G352" i="3"/>
  <c r="H352" i="3"/>
  <c r="G353" i="3"/>
  <c r="H353" i="3"/>
  <c r="G354" i="3"/>
  <c r="H354" i="3"/>
  <c r="G355" i="3"/>
  <c r="H355" i="3"/>
  <c r="G356" i="3"/>
  <c r="H356" i="3"/>
  <c r="G349" i="3"/>
  <c r="J26" i="6"/>
  <c r="F26" i="6"/>
  <c r="G26" i="6"/>
  <c r="G27" i="6"/>
  <c r="G59" i="3"/>
  <c r="H59" i="3"/>
  <c r="G60" i="3"/>
  <c r="H60" i="3"/>
  <c r="G58" i="3"/>
  <c r="J17" i="6"/>
  <c r="G63" i="3"/>
  <c r="H63" i="3"/>
  <c r="G64" i="3"/>
  <c r="H64" i="3"/>
  <c r="G65" i="3"/>
  <c r="H65" i="3"/>
  <c r="G62" i="3"/>
  <c r="J18" i="6"/>
  <c r="K18" i="6"/>
  <c r="F18" i="6"/>
  <c r="G18" i="6"/>
  <c r="G68" i="3"/>
  <c r="H68" i="3"/>
  <c r="G69" i="3"/>
  <c r="H69" i="3"/>
  <c r="G67" i="3"/>
  <c r="J19" i="6"/>
  <c r="K19" i="6"/>
  <c r="F19" i="6"/>
  <c r="E19" i="6"/>
  <c r="G19" i="6"/>
  <c r="G51" i="3"/>
  <c r="H51" i="3"/>
  <c r="G52" i="3"/>
  <c r="H52" i="3"/>
  <c r="G50" i="3"/>
  <c r="E411" i="3"/>
  <c r="G411" i="3"/>
  <c r="H411" i="3"/>
  <c r="F411" i="3"/>
  <c r="D411" i="3"/>
  <c r="C411" i="3"/>
  <c r="E410" i="3"/>
  <c r="G410" i="3"/>
  <c r="H410" i="3"/>
  <c r="F410" i="3"/>
  <c r="D410" i="3"/>
  <c r="C410" i="3"/>
  <c r="E409" i="3"/>
  <c r="G409" i="3"/>
  <c r="H409" i="3"/>
  <c r="F409" i="3"/>
  <c r="D409" i="3"/>
  <c r="C409" i="3"/>
  <c r="E408" i="3"/>
  <c r="G408" i="3"/>
  <c r="H408" i="3"/>
  <c r="F408" i="3"/>
  <c r="D408" i="3"/>
  <c r="C408" i="3"/>
  <c r="G406" i="3"/>
  <c r="H406" i="3"/>
  <c r="F406" i="3"/>
  <c r="D406" i="3"/>
  <c r="C406" i="3"/>
  <c r="G405" i="3"/>
  <c r="H405" i="3"/>
  <c r="F405" i="3"/>
  <c r="D405" i="3"/>
  <c r="C405" i="3"/>
  <c r="H404" i="3"/>
  <c r="G404" i="3"/>
  <c r="F404" i="3"/>
  <c r="E402" i="3"/>
  <c r="G402" i="3"/>
  <c r="H402" i="3"/>
  <c r="F402" i="3"/>
  <c r="D402" i="3"/>
  <c r="C402" i="3"/>
  <c r="E401" i="3"/>
  <c r="G401" i="3"/>
  <c r="H401" i="3"/>
  <c r="F401" i="3"/>
  <c r="D401" i="3"/>
  <c r="C401" i="3"/>
  <c r="E400" i="3"/>
  <c r="G400" i="3"/>
  <c r="H400" i="3"/>
  <c r="F400" i="3"/>
  <c r="D400" i="3"/>
  <c r="C400" i="3"/>
  <c r="E399" i="3"/>
  <c r="G399" i="3"/>
  <c r="H399" i="3"/>
  <c r="F399" i="3"/>
  <c r="D399" i="3"/>
  <c r="C399" i="3"/>
  <c r="G397" i="3"/>
  <c r="H397" i="3"/>
  <c r="F397" i="3"/>
  <c r="D397" i="3"/>
  <c r="C397" i="3"/>
  <c r="G396" i="3"/>
  <c r="H396" i="3"/>
  <c r="F396" i="3"/>
  <c r="D396" i="3"/>
  <c r="C396" i="3"/>
  <c r="H395" i="3"/>
  <c r="G395" i="3"/>
  <c r="F395" i="3"/>
  <c r="G387" i="3"/>
  <c r="H387" i="3"/>
  <c r="G388" i="3"/>
  <c r="H388" i="3"/>
  <c r="G390" i="3"/>
  <c r="E390" i="3"/>
  <c r="H390" i="3"/>
  <c r="G391" i="3"/>
  <c r="E391" i="3"/>
  <c r="H391" i="3"/>
  <c r="G392" i="3"/>
  <c r="E392" i="3"/>
  <c r="H392" i="3"/>
  <c r="G393" i="3"/>
  <c r="E393" i="3"/>
  <c r="H393" i="3"/>
  <c r="G386" i="3"/>
  <c r="F393" i="3"/>
  <c r="D393" i="3"/>
  <c r="C393" i="3"/>
  <c r="F392" i="3"/>
  <c r="D392" i="3"/>
  <c r="C392" i="3"/>
  <c r="F391" i="3"/>
  <c r="D391" i="3"/>
  <c r="C391" i="3"/>
  <c r="F390" i="3"/>
  <c r="D390" i="3"/>
  <c r="C390" i="3"/>
  <c r="F388" i="3"/>
  <c r="D388" i="3"/>
  <c r="C388" i="3"/>
  <c r="F387" i="3"/>
  <c r="D387" i="3"/>
  <c r="C387" i="3"/>
  <c r="H386" i="3"/>
  <c r="F386" i="3"/>
  <c r="G379" i="3"/>
  <c r="H379" i="3"/>
  <c r="G380" i="3"/>
  <c r="H380" i="3"/>
  <c r="G378" i="3"/>
  <c r="G384" i="3"/>
  <c r="H384" i="3"/>
  <c r="F384" i="3"/>
  <c r="D384" i="3"/>
  <c r="C384" i="3"/>
  <c r="G383" i="3"/>
  <c r="H383" i="3"/>
  <c r="F383" i="3"/>
  <c r="D383" i="3"/>
  <c r="C383" i="3"/>
  <c r="H382" i="3"/>
  <c r="G382" i="3"/>
  <c r="F382" i="3"/>
  <c r="C375" i="3"/>
  <c r="D375" i="3"/>
  <c r="F375" i="3"/>
  <c r="G375" i="3"/>
  <c r="H375" i="3"/>
  <c r="C376" i="3"/>
  <c r="D376" i="3"/>
  <c r="F376" i="3"/>
  <c r="G376" i="3"/>
  <c r="H376" i="3"/>
  <c r="H381" i="3"/>
  <c r="G381" i="3"/>
  <c r="F381" i="3"/>
  <c r="D381" i="3"/>
  <c r="C381" i="3"/>
  <c r="F380" i="3"/>
  <c r="D380" i="3"/>
  <c r="C380" i="3"/>
  <c r="F379" i="3"/>
  <c r="D379" i="3"/>
  <c r="C379" i="3"/>
  <c r="H378" i="3"/>
  <c r="F378" i="3"/>
  <c r="F377" i="3"/>
  <c r="C377" i="3"/>
  <c r="G374" i="3"/>
  <c r="H374" i="3"/>
  <c r="F374" i="3"/>
  <c r="D374" i="3"/>
  <c r="C374" i="3"/>
  <c r="H373" i="3"/>
  <c r="G373" i="3"/>
  <c r="F373" i="3"/>
  <c r="F372" i="3"/>
  <c r="C372" i="3"/>
  <c r="G371" i="3"/>
  <c r="H371" i="3"/>
  <c r="F371" i="3"/>
  <c r="D371" i="3"/>
  <c r="C371" i="3"/>
  <c r="G370" i="3"/>
  <c r="H370" i="3"/>
  <c r="F370" i="3"/>
  <c r="D370" i="3"/>
  <c r="C370" i="3"/>
  <c r="H369" i="3"/>
  <c r="G369" i="3"/>
  <c r="F369" i="3"/>
  <c r="E367" i="3"/>
  <c r="C360" i="3"/>
  <c r="D360" i="3"/>
  <c r="F360" i="3"/>
  <c r="G360" i="3"/>
  <c r="H360" i="3"/>
  <c r="G367" i="3"/>
  <c r="H367" i="3"/>
  <c r="F367" i="3"/>
  <c r="D367" i="3"/>
  <c r="C367" i="3"/>
  <c r="E366" i="3"/>
  <c r="G366" i="3"/>
  <c r="H366" i="3"/>
  <c r="F366" i="3"/>
  <c r="D366" i="3"/>
  <c r="C366" i="3"/>
  <c r="E365" i="3"/>
  <c r="G365" i="3"/>
  <c r="H365" i="3"/>
  <c r="F365" i="3"/>
  <c r="D365" i="3"/>
  <c r="C365" i="3"/>
  <c r="E364" i="3"/>
  <c r="G364" i="3"/>
  <c r="H364" i="3"/>
  <c r="F364" i="3"/>
  <c r="D364" i="3"/>
  <c r="C364" i="3"/>
  <c r="E363" i="3"/>
  <c r="G363" i="3"/>
  <c r="H363" i="3"/>
  <c r="F363" i="3"/>
  <c r="D363" i="3"/>
  <c r="C363" i="3"/>
  <c r="H362" i="3"/>
  <c r="G362" i="3"/>
  <c r="F362" i="3"/>
  <c r="D362" i="3"/>
  <c r="C362" i="3"/>
  <c r="G361" i="3"/>
  <c r="H361" i="3"/>
  <c r="F361" i="3"/>
  <c r="D361" i="3"/>
  <c r="C361" i="3"/>
  <c r="G359" i="3"/>
  <c r="H359" i="3"/>
  <c r="F359" i="3"/>
  <c r="D359" i="3"/>
  <c r="C359" i="3"/>
  <c r="H358" i="3"/>
  <c r="G358" i="3"/>
  <c r="F358" i="3"/>
  <c r="E355" i="3"/>
  <c r="C355" i="3"/>
  <c r="D355" i="3"/>
  <c r="F355" i="3"/>
  <c r="E356" i="3"/>
  <c r="F356" i="3"/>
  <c r="D356" i="3"/>
  <c r="C356" i="3"/>
  <c r="E354" i="3"/>
  <c r="F354" i="3"/>
  <c r="D354" i="3"/>
  <c r="C354" i="3"/>
  <c r="E353" i="3"/>
  <c r="F353" i="3"/>
  <c r="D353" i="3"/>
  <c r="C353" i="3"/>
  <c r="E352" i="3"/>
  <c r="F352" i="3"/>
  <c r="D352" i="3"/>
  <c r="C352" i="3"/>
  <c r="G351" i="3"/>
  <c r="F351" i="3"/>
  <c r="D351" i="3"/>
  <c r="C351" i="3"/>
  <c r="F350" i="3"/>
  <c r="D350" i="3"/>
  <c r="C350" i="3"/>
  <c r="H349" i="3"/>
  <c r="F349" i="3"/>
  <c r="E347" i="3"/>
  <c r="E346" i="3"/>
  <c r="E345" i="3"/>
  <c r="E344" i="3"/>
  <c r="G347" i="3"/>
  <c r="H347" i="3"/>
  <c r="F347" i="3"/>
  <c r="D347" i="3"/>
  <c r="C347" i="3"/>
  <c r="G346" i="3"/>
  <c r="H346" i="3"/>
  <c r="F346" i="3"/>
  <c r="D346" i="3"/>
  <c r="C346" i="3"/>
  <c r="G345" i="3"/>
  <c r="H345" i="3"/>
  <c r="F345" i="3"/>
  <c r="D345" i="3"/>
  <c r="C345" i="3"/>
  <c r="G344" i="3"/>
  <c r="H344" i="3"/>
  <c r="F344" i="3"/>
  <c r="D344" i="3"/>
  <c r="C344" i="3"/>
  <c r="H343" i="3"/>
  <c r="G343" i="3"/>
  <c r="F343" i="3"/>
  <c r="D343" i="3"/>
  <c r="C343" i="3"/>
  <c r="G342" i="3"/>
  <c r="H342" i="3"/>
  <c r="F342" i="3"/>
  <c r="D342" i="3"/>
  <c r="C342" i="3"/>
  <c r="H341" i="3"/>
  <c r="G341" i="3"/>
  <c r="F341" i="3"/>
  <c r="G271" i="3"/>
  <c r="H271" i="3"/>
  <c r="F271" i="3"/>
  <c r="D271" i="3"/>
  <c r="C271" i="3"/>
  <c r="G270" i="3"/>
  <c r="H270" i="3"/>
  <c r="F270" i="3"/>
  <c r="D270" i="3"/>
  <c r="C270" i="3"/>
  <c r="H269" i="3"/>
  <c r="G269" i="3"/>
  <c r="F269" i="3"/>
  <c r="H268" i="3"/>
  <c r="G268" i="3"/>
  <c r="F268" i="3"/>
  <c r="D268" i="3"/>
  <c r="C268" i="3"/>
  <c r="G267" i="3"/>
  <c r="H267" i="3"/>
  <c r="F267" i="3"/>
  <c r="D267" i="3"/>
  <c r="C267" i="3"/>
  <c r="G266" i="3"/>
  <c r="H266" i="3"/>
  <c r="F266" i="3"/>
  <c r="D266" i="3"/>
  <c r="C266" i="3"/>
  <c r="H265" i="3"/>
  <c r="G265" i="3"/>
  <c r="F265" i="3"/>
  <c r="F264" i="3"/>
  <c r="C264" i="3"/>
  <c r="G263" i="3"/>
  <c r="H263" i="3"/>
  <c r="F263" i="3"/>
  <c r="D263" i="3"/>
  <c r="C263" i="3"/>
  <c r="G262" i="3"/>
  <c r="H262" i="3"/>
  <c r="F262" i="3"/>
  <c r="D262" i="3"/>
  <c r="C262" i="3"/>
  <c r="G261" i="3"/>
  <c r="H261" i="3"/>
  <c r="F261" i="3"/>
  <c r="D261" i="3"/>
  <c r="C261" i="3"/>
  <c r="G260" i="3"/>
  <c r="H260" i="3"/>
  <c r="F260" i="3"/>
  <c r="D260" i="3"/>
  <c r="C260" i="3"/>
  <c r="H259" i="3"/>
  <c r="G259" i="3"/>
  <c r="F259" i="3"/>
  <c r="F258" i="3"/>
  <c r="C258" i="3"/>
  <c r="G257" i="3"/>
  <c r="H257" i="3"/>
  <c r="F257" i="3"/>
  <c r="D257" i="3"/>
  <c r="C257" i="3"/>
  <c r="G256" i="3"/>
  <c r="H256" i="3"/>
  <c r="F256" i="3"/>
  <c r="D256" i="3"/>
  <c r="C256" i="3"/>
  <c r="H255" i="3"/>
  <c r="G255" i="3"/>
  <c r="F255" i="3"/>
  <c r="G253" i="3"/>
  <c r="H253" i="3"/>
  <c r="F253" i="3"/>
  <c r="D253" i="3"/>
  <c r="C253" i="3"/>
  <c r="G252" i="3"/>
  <c r="H252" i="3"/>
  <c r="F252" i="3"/>
  <c r="D252" i="3"/>
  <c r="C252" i="3"/>
  <c r="H251" i="3"/>
  <c r="G251" i="3"/>
  <c r="F251" i="3"/>
  <c r="H250" i="3"/>
  <c r="G250" i="3"/>
  <c r="F250" i="3"/>
  <c r="D250" i="3"/>
  <c r="C250" i="3"/>
  <c r="G249" i="3"/>
  <c r="H249" i="3"/>
  <c r="F249" i="3"/>
  <c r="D249" i="3"/>
  <c r="C249" i="3"/>
  <c r="G248" i="3"/>
  <c r="H248" i="3"/>
  <c r="F248" i="3"/>
  <c r="D248" i="3"/>
  <c r="C248" i="3"/>
  <c r="H247" i="3"/>
  <c r="G247" i="3"/>
  <c r="F247" i="3"/>
  <c r="F246" i="3"/>
  <c r="C246" i="3"/>
  <c r="G245" i="3"/>
  <c r="H245" i="3"/>
  <c r="F245" i="3"/>
  <c r="D245" i="3"/>
  <c r="C245" i="3"/>
  <c r="G244" i="3"/>
  <c r="H244" i="3"/>
  <c r="F244" i="3"/>
  <c r="D244" i="3"/>
  <c r="C244" i="3"/>
  <c r="G243" i="3"/>
  <c r="H243" i="3"/>
  <c r="F243" i="3"/>
  <c r="D243" i="3"/>
  <c r="C243" i="3"/>
  <c r="G242" i="3"/>
  <c r="H242" i="3"/>
  <c r="F242" i="3"/>
  <c r="D242" i="3"/>
  <c r="C242" i="3"/>
  <c r="H241" i="3"/>
  <c r="G241" i="3"/>
  <c r="F241" i="3"/>
  <c r="F240" i="3"/>
  <c r="C240" i="3"/>
  <c r="G239" i="3"/>
  <c r="H239" i="3"/>
  <c r="F239" i="3"/>
  <c r="D239" i="3"/>
  <c r="C239" i="3"/>
  <c r="G238" i="3"/>
  <c r="H238" i="3"/>
  <c r="F238" i="3"/>
  <c r="D238" i="3"/>
  <c r="C238" i="3"/>
  <c r="H237" i="3"/>
  <c r="G237" i="3"/>
  <c r="F237" i="3"/>
  <c r="G331" i="3"/>
  <c r="H331" i="3"/>
  <c r="G332" i="3"/>
  <c r="H332" i="3"/>
  <c r="G333" i="3"/>
  <c r="H333" i="3"/>
  <c r="H334" i="3"/>
  <c r="G335" i="3"/>
  <c r="E335" i="3"/>
  <c r="H335" i="3"/>
  <c r="G336" i="3"/>
  <c r="E336" i="3"/>
  <c r="H336" i="3"/>
  <c r="G337" i="3"/>
  <c r="E337" i="3"/>
  <c r="H337" i="3"/>
  <c r="G338" i="3"/>
  <c r="E338" i="3"/>
  <c r="H338" i="3"/>
  <c r="G339" i="3"/>
  <c r="H339" i="3"/>
  <c r="G330" i="3"/>
  <c r="F339" i="3"/>
  <c r="D339" i="3"/>
  <c r="C339" i="3"/>
  <c r="F338" i="3"/>
  <c r="D338" i="3"/>
  <c r="C338" i="3"/>
  <c r="F337" i="3"/>
  <c r="D337" i="3"/>
  <c r="C337" i="3"/>
  <c r="F336" i="3"/>
  <c r="D336" i="3"/>
  <c r="C336" i="3"/>
  <c r="F335" i="3"/>
  <c r="D335" i="3"/>
  <c r="C335" i="3"/>
  <c r="G334" i="3"/>
  <c r="F334" i="3"/>
  <c r="D334" i="3"/>
  <c r="C334" i="3"/>
  <c r="F333" i="3"/>
  <c r="D333" i="3"/>
  <c r="C333" i="3"/>
  <c r="F332" i="3"/>
  <c r="D332" i="3"/>
  <c r="C332" i="3"/>
  <c r="F331" i="3"/>
  <c r="D331" i="3"/>
  <c r="C331" i="3"/>
  <c r="H330" i="3"/>
  <c r="F330" i="3"/>
  <c r="E325" i="3"/>
  <c r="E326" i="3"/>
  <c r="E327" i="3"/>
  <c r="E328" i="3"/>
  <c r="C323" i="3"/>
  <c r="D323" i="3"/>
  <c r="F323" i="3"/>
  <c r="F328" i="3"/>
  <c r="D328" i="3"/>
  <c r="C328" i="3"/>
  <c r="F327" i="3"/>
  <c r="D327" i="3"/>
  <c r="C327" i="3"/>
  <c r="F326" i="3"/>
  <c r="D326" i="3"/>
  <c r="C326" i="3"/>
  <c r="F325" i="3"/>
  <c r="D325" i="3"/>
  <c r="C325" i="3"/>
  <c r="G324" i="3"/>
  <c r="F324" i="3"/>
  <c r="D324" i="3"/>
  <c r="C324" i="3"/>
  <c r="F322" i="3"/>
  <c r="D322" i="3"/>
  <c r="C322" i="3"/>
  <c r="F321" i="3"/>
  <c r="D321" i="3"/>
  <c r="C321" i="3"/>
  <c r="H320" i="3"/>
  <c r="F320" i="3"/>
  <c r="E318" i="3"/>
  <c r="E317" i="3"/>
  <c r="E316" i="3"/>
  <c r="E315" i="3"/>
  <c r="F318" i="3"/>
  <c r="D318" i="3"/>
  <c r="C318" i="3"/>
  <c r="F317" i="3"/>
  <c r="D317" i="3"/>
  <c r="C317" i="3"/>
  <c r="F316" i="3"/>
  <c r="D316" i="3"/>
  <c r="C316" i="3"/>
  <c r="F315" i="3"/>
  <c r="D315" i="3"/>
  <c r="C315" i="3"/>
  <c r="G314" i="3"/>
  <c r="F314" i="3"/>
  <c r="D314" i="3"/>
  <c r="C314" i="3"/>
  <c r="F313" i="3"/>
  <c r="D313" i="3"/>
  <c r="C313" i="3"/>
  <c r="F312" i="3"/>
  <c r="D312" i="3"/>
  <c r="C312" i="3"/>
  <c r="H311" i="3"/>
  <c r="F311" i="3"/>
  <c r="G294" i="3"/>
  <c r="H294" i="3"/>
  <c r="G295" i="3"/>
  <c r="H295" i="3"/>
  <c r="H296" i="3"/>
  <c r="G297" i="3"/>
  <c r="E297" i="3"/>
  <c r="H297" i="3"/>
  <c r="G298" i="3"/>
  <c r="E298" i="3"/>
  <c r="H298" i="3"/>
  <c r="G299" i="3"/>
  <c r="E299" i="3"/>
  <c r="H299" i="3"/>
  <c r="G300" i="3"/>
  <c r="E300" i="3"/>
  <c r="H300" i="3"/>
  <c r="G293" i="3"/>
  <c r="E309" i="3"/>
  <c r="G309" i="3"/>
  <c r="H309" i="3"/>
  <c r="F309" i="3"/>
  <c r="D309" i="3"/>
  <c r="C309" i="3"/>
  <c r="E308" i="3"/>
  <c r="G308" i="3"/>
  <c r="H308" i="3"/>
  <c r="F308" i="3"/>
  <c r="D308" i="3"/>
  <c r="C308" i="3"/>
  <c r="E307" i="3"/>
  <c r="G307" i="3"/>
  <c r="H307" i="3"/>
  <c r="F307" i="3"/>
  <c r="D307" i="3"/>
  <c r="C307" i="3"/>
  <c r="E306" i="3"/>
  <c r="G306" i="3"/>
  <c r="H306" i="3"/>
  <c r="F306" i="3"/>
  <c r="D306" i="3"/>
  <c r="C306" i="3"/>
  <c r="H305" i="3"/>
  <c r="G305" i="3"/>
  <c r="F305" i="3"/>
  <c r="D305" i="3"/>
  <c r="C305" i="3"/>
  <c r="G304" i="3"/>
  <c r="H304" i="3"/>
  <c r="F304" i="3"/>
  <c r="D304" i="3"/>
  <c r="C304" i="3"/>
  <c r="G303" i="3"/>
  <c r="H303" i="3"/>
  <c r="F303" i="3"/>
  <c r="D303" i="3"/>
  <c r="C303" i="3"/>
  <c r="H302" i="3"/>
  <c r="G302" i="3"/>
  <c r="F302" i="3"/>
  <c r="F300" i="3"/>
  <c r="D300" i="3"/>
  <c r="C300" i="3"/>
  <c r="F299" i="3"/>
  <c r="D299" i="3"/>
  <c r="C299" i="3"/>
  <c r="F298" i="3"/>
  <c r="D298" i="3"/>
  <c r="C298" i="3"/>
  <c r="F297" i="3"/>
  <c r="D297" i="3"/>
  <c r="C297" i="3"/>
  <c r="G296" i="3"/>
  <c r="F296" i="3"/>
  <c r="D296" i="3"/>
  <c r="C296" i="3"/>
  <c r="F295" i="3"/>
  <c r="D295" i="3"/>
  <c r="C295" i="3"/>
  <c r="F294" i="3"/>
  <c r="D294" i="3"/>
  <c r="C294" i="3"/>
  <c r="H293" i="3"/>
  <c r="F293" i="3"/>
  <c r="E291" i="3"/>
  <c r="E290" i="3"/>
  <c r="E289" i="3"/>
  <c r="E288" i="3"/>
  <c r="G291" i="3"/>
  <c r="H291" i="3"/>
  <c r="F291" i="3"/>
  <c r="D291" i="3"/>
  <c r="C291" i="3"/>
  <c r="G290" i="3"/>
  <c r="H290" i="3"/>
  <c r="F290" i="3"/>
  <c r="D290" i="3"/>
  <c r="C290" i="3"/>
  <c r="G289" i="3"/>
  <c r="H289" i="3"/>
  <c r="F289" i="3"/>
  <c r="D289" i="3"/>
  <c r="C289" i="3"/>
  <c r="G288" i="3"/>
  <c r="H288" i="3"/>
  <c r="F288" i="3"/>
  <c r="D288" i="3"/>
  <c r="C288" i="3"/>
  <c r="H287" i="3"/>
  <c r="G287" i="3"/>
  <c r="F287" i="3"/>
  <c r="D287" i="3"/>
  <c r="C287" i="3"/>
  <c r="G286" i="3"/>
  <c r="H286" i="3"/>
  <c r="F286" i="3"/>
  <c r="D286" i="3"/>
  <c r="C286" i="3"/>
  <c r="G285" i="3"/>
  <c r="H285" i="3"/>
  <c r="F285" i="3"/>
  <c r="D285" i="3"/>
  <c r="C285" i="3"/>
  <c r="G284" i="3"/>
  <c r="H284" i="3"/>
  <c r="F284" i="3"/>
  <c r="D284" i="3"/>
  <c r="C284" i="3"/>
  <c r="H283" i="3"/>
  <c r="G283" i="3"/>
  <c r="F283" i="3"/>
  <c r="G274" i="3"/>
  <c r="H274" i="3"/>
  <c r="G275" i="3"/>
  <c r="H275" i="3"/>
  <c r="G276" i="3"/>
  <c r="H276" i="3"/>
  <c r="H277" i="3"/>
  <c r="G278" i="3"/>
  <c r="E278" i="3"/>
  <c r="H278" i="3"/>
  <c r="G279" i="3"/>
  <c r="E279" i="3"/>
  <c r="H279" i="3"/>
  <c r="G280" i="3"/>
  <c r="E280" i="3"/>
  <c r="H280" i="3"/>
  <c r="G281" i="3"/>
  <c r="E281" i="3"/>
  <c r="H281" i="3"/>
  <c r="G273" i="3"/>
  <c r="F281" i="3"/>
  <c r="D281" i="3"/>
  <c r="C281" i="3"/>
  <c r="F280" i="3"/>
  <c r="D280" i="3"/>
  <c r="C280" i="3"/>
  <c r="F279" i="3"/>
  <c r="D279" i="3"/>
  <c r="C279" i="3"/>
  <c r="F278" i="3"/>
  <c r="D278" i="3"/>
  <c r="C278" i="3"/>
  <c r="G277" i="3"/>
  <c r="F277" i="3"/>
  <c r="D277" i="3"/>
  <c r="C277" i="3"/>
  <c r="F276" i="3"/>
  <c r="D276" i="3"/>
  <c r="C276" i="3"/>
  <c r="F275" i="3"/>
  <c r="D275" i="3"/>
  <c r="C275" i="3"/>
  <c r="F274" i="3"/>
  <c r="D274" i="3"/>
  <c r="C274" i="3"/>
  <c r="H273" i="3"/>
  <c r="F273" i="3"/>
  <c r="G235" i="3"/>
  <c r="H235" i="3"/>
  <c r="F235" i="3"/>
  <c r="D235" i="3"/>
  <c r="C235" i="3"/>
  <c r="G234" i="3"/>
  <c r="H234" i="3"/>
  <c r="F234" i="3"/>
  <c r="D234" i="3"/>
  <c r="C234" i="3"/>
  <c r="H233" i="3"/>
  <c r="G233" i="3"/>
  <c r="F233" i="3"/>
  <c r="G231" i="3"/>
  <c r="H231" i="3"/>
  <c r="F231" i="3"/>
  <c r="D231" i="3"/>
  <c r="C231" i="3"/>
  <c r="G230" i="3"/>
  <c r="H230" i="3"/>
  <c r="F230" i="3"/>
  <c r="D230" i="3"/>
  <c r="C230" i="3"/>
  <c r="H229" i="3"/>
  <c r="G229" i="3"/>
  <c r="F229" i="3"/>
  <c r="G227" i="3"/>
  <c r="H227" i="3"/>
  <c r="F227" i="3"/>
  <c r="D227" i="3"/>
  <c r="C227" i="3"/>
  <c r="G226" i="3"/>
  <c r="H226" i="3"/>
  <c r="F226" i="3"/>
  <c r="D226" i="3"/>
  <c r="C226" i="3"/>
  <c r="H225" i="3"/>
  <c r="G225" i="3"/>
  <c r="F225" i="3"/>
  <c r="G223" i="3"/>
  <c r="H223" i="3"/>
  <c r="F223" i="3"/>
  <c r="D223" i="3"/>
  <c r="C223" i="3"/>
  <c r="G222" i="3"/>
  <c r="H222" i="3"/>
  <c r="F222" i="3"/>
  <c r="D222" i="3"/>
  <c r="C222" i="3"/>
  <c r="H221" i="3"/>
  <c r="G221" i="3"/>
  <c r="F221" i="3"/>
  <c r="H220" i="3"/>
  <c r="G220" i="3"/>
  <c r="F220" i="3"/>
  <c r="D220" i="3"/>
  <c r="C220" i="3"/>
  <c r="G219" i="3"/>
  <c r="H219" i="3"/>
  <c r="F219" i="3"/>
  <c r="D219" i="3"/>
  <c r="C219" i="3"/>
  <c r="G218" i="3"/>
  <c r="H218" i="3"/>
  <c r="F218" i="3"/>
  <c r="D218" i="3"/>
  <c r="C218" i="3"/>
  <c r="H217" i="3"/>
  <c r="G217" i="3"/>
  <c r="F217" i="3"/>
  <c r="F216" i="3"/>
  <c r="C216" i="3"/>
  <c r="G215" i="3"/>
  <c r="H215" i="3"/>
  <c r="F215" i="3"/>
  <c r="D215" i="3"/>
  <c r="C215" i="3"/>
  <c r="G214" i="3"/>
  <c r="H214" i="3"/>
  <c r="F214" i="3"/>
  <c r="D214" i="3"/>
  <c r="C214" i="3"/>
  <c r="G213" i="3"/>
  <c r="H213" i="3"/>
  <c r="F213" i="3"/>
  <c r="D213" i="3"/>
  <c r="C213" i="3"/>
  <c r="G212" i="3"/>
  <c r="H212" i="3"/>
  <c r="F212" i="3"/>
  <c r="D212" i="3"/>
  <c r="C212" i="3"/>
  <c r="H211" i="3"/>
  <c r="G211" i="3"/>
  <c r="F211" i="3"/>
  <c r="F210" i="3"/>
  <c r="C210" i="3"/>
  <c r="G209" i="3"/>
  <c r="H209" i="3"/>
  <c r="F209" i="3"/>
  <c r="D209" i="3"/>
  <c r="C209" i="3"/>
  <c r="G208" i="3"/>
  <c r="H208" i="3"/>
  <c r="F208" i="3"/>
  <c r="D208" i="3"/>
  <c r="C208" i="3"/>
  <c r="H207" i="3"/>
  <c r="G207" i="3"/>
  <c r="F207" i="3"/>
  <c r="G205" i="3"/>
  <c r="H205" i="3"/>
  <c r="F205" i="3"/>
  <c r="D205" i="3"/>
  <c r="C205" i="3"/>
  <c r="G204" i="3"/>
  <c r="H204" i="3"/>
  <c r="F204" i="3"/>
  <c r="D204" i="3"/>
  <c r="C204" i="3"/>
  <c r="H203" i="3"/>
  <c r="G203" i="3"/>
  <c r="F203" i="3"/>
  <c r="H202" i="3"/>
  <c r="G202" i="3"/>
  <c r="F202" i="3"/>
  <c r="D202" i="3"/>
  <c r="C202" i="3"/>
  <c r="G201" i="3"/>
  <c r="H201" i="3"/>
  <c r="F201" i="3"/>
  <c r="D201" i="3"/>
  <c r="C201" i="3"/>
  <c r="G200" i="3"/>
  <c r="H200" i="3"/>
  <c r="F200" i="3"/>
  <c r="D200" i="3"/>
  <c r="C200" i="3"/>
  <c r="H199" i="3"/>
  <c r="G199" i="3"/>
  <c r="F199" i="3"/>
  <c r="F198" i="3"/>
  <c r="C198" i="3"/>
  <c r="G197" i="3"/>
  <c r="H197" i="3"/>
  <c r="F197" i="3"/>
  <c r="D197" i="3"/>
  <c r="C197" i="3"/>
  <c r="G196" i="3"/>
  <c r="H196" i="3"/>
  <c r="F196" i="3"/>
  <c r="D196" i="3"/>
  <c r="C196" i="3"/>
  <c r="G195" i="3"/>
  <c r="H195" i="3"/>
  <c r="F195" i="3"/>
  <c r="D195" i="3"/>
  <c r="C195" i="3"/>
  <c r="G194" i="3"/>
  <c r="H194" i="3"/>
  <c r="F194" i="3"/>
  <c r="D194" i="3"/>
  <c r="C194" i="3"/>
  <c r="H193" i="3"/>
  <c r="G193" i="3"/>
  <c r="F193" i="3"/>
  <c r="F192" i="3"/>
  <c r="C192" i="3"/>
  <c r="G191" i="3"/>
  <c r="H191" i="3"/>
  <c r="F191" i="3"/>
  <c r="D191" i="3"/>
  <c r="C191" i="3"/>
  <c r="G190" i="3"/>
  <c r="H190" i="3"/>
  <c r="F190" i="3"/>
  <c r="D190" i="3"/>
  <c r="C190" i="3"/>
  <c r="H189" i="3"/>
  <c r="G189" i="3"/>
  <c r="F189" i="3"/>
  <c r="G86" i="3"/>
  <c r="H86" i="3"/>
  <c r="G87" i="3"/>
  <c r="H87" i="3"/>
  <c r="G88" i="3"/>
  <c r="H88" i="3"/>
  <c r="G89" i="3"/>
  <c r="H89" i="3"/>
  <c r="G85" i="3"/>
  <c r="C88" i="3"/>
  <c r="D88" i="3"/>
  <c r="F88" i="3"/>
  <c r="F98" i="3"/>
  <c r="G97" i="3"/>
  <c r="H97" i="3"/>
  <c r="F97" i="3"/>
  <c r="D97" i="3"/>
  <c r="C97" i="3"/>
  <c r="G96" i="3"/>
  <c r="H96" i="3"/>
  <c r="F96" i="3"/>
  <c r="D96" i="3"/>
  <c r="C96" i="3"/>
  <c r="H95" i="3"/>
  <c r="G95" i="3"/>
  <c r="F95" i="3"/>
  <c r="H94" i="3"/>
  <c r="G94" i="3"/>
  <c r="F94" i="3"/>
  <c r="D94" i="3"/>
  <c r="C94" i="3"/>
  <c r="G93" i="3"/>
  <c r="H93" i="3"/>
  <c r="F93" i="3"/>
  <c r="D93" i="3"/>
  <c r="C93" i="3"/>
  <c r="G92" i="3"/>
  <c r="H92" i="3"/>
  <c r="F92" i="3"/>
  <c r="D92" i="3"/>
  <c r="C92" i="3"/>
  <c r="H91" i="3"/>
  <c r="G91" i="3"/>
  <c r="F91" i="3"/>
  <c r="F90" i="3"/>
  <c r="C90" i="3"/>
  <c r="F89" i="3"/>
  <c r="D89" i="3"/>
  <c r="C89" i="3"/>
  <c r="F87" i="3"/>
  <c r="D87" i="3"/>
  <c r="C87" i="3"/>
  <c r="F86" i="3"/>
  <c r="D86" i="3"/>
  <c r="C86" i="3"/>
  <c r="H85" i="3"/>
  <c r="F85" i="3"/>
  <c r="F84" i="3"/>
  <c r="C84" i="3"/>
  <c r="G83" i="3"/>
  <c r="H83" i="3"/>
  <c r="F83" i="3"/>
  <c r="D83" i="3"/>
  <c r="C83" i="3"/>
  <c r="G82" i="3"/>
  <c r="H82" i="3"/>
  <c r="F82" i="3"/>
  <c r="D82" i="3"/>
  <c r="C82" i="3"/>
  <c r="H81" i="3"/>
  <c r="G81" i="3"/>
  <c r="F81" i="3"/>
  <c r="G184" i="3"/>
  <c r="H184" i="3"/>
  <c r="G185" i="3"/>
  <c r="H185" i="3"/>
  <c r="G186" i="3"/>
  <c r="H186" i="3"/>
  <c r="G187" i="3"/>
  <c r="H187" i="3"/>
  <c r="G183" i="3"/>
  <c r="C187" i="3"/>
  <c r="D187" i="3"/>
  <c r="F187" i="3"/>
  <c r="F186" i="3"/>
  <c r="D186" i="3"/>
  <c r="C186" i="3"/>
  <c r="F185" i="3"/>
  <c r="D185" i="3"/>
  <c r="C185" i="3"/>
  <c r="F184" i="3"/>
  <c r="D184" i="3"/>
  <c r="C184" i="3"/>
  <c r="H183" i="3"/>
  <c r="F183" i="3"/>
  <c r="G179" i="3"/>
  <c r="H179" i="3"/>
  <c r="G180" i="3"/>
  <c r="H180" i="3"/>
  <c r="G181" i="3"/>
  <c r="H181" i="3"/>
  <c r="G178" i="3"/>
  <c r="C181" i="3"/>
  <c r="D181" i="3"/>
  <c r="F181" i="3"/>
  <c r="F180" i="3"/>
  <c r="D180" i="3"/>
  <c r="C180" i="3"/>
  <c r="F179" i="3"/>
  <c r="D179" i="3"/>
  <c r="C179" i="3"/>
  <c r="H178" i="3"/>
  <c r="F178" i="3"/>
  <c r="G176" i="3"/>
  <c r="H176" i="3"/>
  <c r="F176" i="3"/>
  <c r="D176" i="3"/>
  <c r="C176" i="3"/>
  <c r="G175" i="3"/>
  <c r="H175" i="3"/>
  <c r="F175" i="3"/>
  <c r="D175" i="3"/>
  <c r="C175" i="3"/>
  <c r="H174" i="3"/>
  <c r="G174" i="3"/>
  <c r="F174" i="3"/>
  <c r="G170" i="3"/>
  <c r="H170" i="3"/>
  <c r="G171" i="3"/>
  <c r="H171" i="3"/>
  <c r="G172" i="3"/>
  <c r="H172" i="3"/>
  <c r="G169" i="3"/>
  <c r="C172" i="3"/>
  <c r="D172" i="3"/>
  <c r="F172" i="3"/>
  <c r="F171" i="3"/>
  <c r="D171" i="3"/>
  <c r="C171" i="3"/>
  <c r="F170" i="3"/>
  <c r="D170" i="3"/>
  <c r="C170" i="3"/>
  <c r="H169" i="3"/>
  <c r="F169" i="3"/>
  <c r="G167" i="3"/>
  <c r="H167" i="3"/>
  <c r="F167" i="3"/>
  <c r="D167" i="3"/>
  <c r="C167" i="3"/>
  <c r="G166" i="3"/>
  <c r="H166" i="3"/>
  <c r="F166" i="3"/>
  <c r="D166" i="3"/>
  <c r="C166" i="3"/>
  <c r="H165" i="3"/>
  <c r="G165" i="3"/>
  <c r="F165" i="3"/>
  <c r="G146" i="3"/>
  <c r="H146" i="3"/>
  <c r="G145" i="3"/>
  <c r="F146" i="3"/>
  <c r="D146" i="3"/>
  <c r="C146" i="3"/>
  <c r="F114" i="3"/>
  <c r="G113" i="3"/>
  <c r="H113" i="3"/>
  <c r="F113" i="3"/>
  <c r="D113" i="3"/>
  <c r="C113" i="3"/>
  <c r="G112" i="3"/>
  <c r="H112" i="3"/>
  <c r="F112" i="3"/>
  <c r="D112" i="3"/>
  <c r="C112" i="3"/>
  <c r="H111" i="3"/>
  <c r="G111" i="3"/>
  <c r="F111" i="3"/>
  <c r="G163" i="3"/>
  <c r="H163" i="3"/>
  <c r="F163" i="3"/>
  <c r="D163" i="3"/>
  <c r="C163" i="3"/>
  <c r="G162" i="3"/>
  <c r="H162" i="3"/>
  <c r="F162" i="3"/>
  <c r="D162" i="3"/>
  <c r="C162" i="3"/>
  <c r="H161" i="3"/>
  <c r="G161" i="3"/>
  <c r="F161" i="3"/>
  <c r="H160" i="3"/>
  <c r="G160" i="3"/>
  <c r="F160" i="3"/>
  <c r="D160" i="3"/>
  <c r="C160" i="3"/>
  <c r="G159" i="3"/>
  <c r="H159" i="3"/>
  <c r="F159" i="3"/>
  <c r="D159" i="3"/>
  <c r="C159" i="3"/>
  <c r="G158" i="3"/>
  <c r="H158" i="3"/>
  <c r="F158" i="3"/>
  <c r="D158" i="3"/>
  <c r="C158" i="3"/>
  <c r="H157" i="3"/>
  <c r="G157" i="3"/>
  <c r="F157" i="3"/>
  <c r="F156" i="3"/>
  <c r="C156" i="3"/>
  <c r="G155" i="3"/>
  <c r="H155" i="3"/>
  <c r="F155" i="3"/>
  <c r="D155" i="3"/>
  <c r="C155" i="3"/>
  <c r="G154" i="3"/>
  <c r="H154" i="3"/>
  <c r="F154" i="3"/>
  <c r="D154" i="3"/>
  <c r="C154" i="3"/>
  <c r="G153" i="3"/>
  <c r="H153" i="3"/>
  <c r="F153" i="3"/>
  <c r="D153" i="3"/>
  <c r="C153" i="3"/>
  <c r="H152" i="3"/>
  <c r="G152" i="3"/>
  <c r="F152" i="3"/>
  <c r="G150" i="3"/>
  <c r="H150" i="3"/>
  <c r="F150" i="3"/>
  <c r="D150" i="3"/>
  <c r="C150" i="3"/>
  <c r="G149" i="3"/>
  <c r="H149" i="3"/>
  <c r="F149" i="3"/>
  <c r="D149" i="3"/>
  <c r="C149" i="3"/>
  <c r="H148" i="3"/>
  <c r="G148" i="3"/>
  <c r="F148" i="3"/>
  <c r="G143" i="3"/>
  <c r="H143" i="3"/>
  <c r="F143" i="3"/>
  <c r="D143" i="3"/>
  <c r="C143" i="3"/>
  <c r="G142" i="3"/>
  <c r="H142" i="3"/>
  <c r="F142" i="3"/>
  <c r="D142" i="3"/>
  <c r="C142" i="3"/>
  <c r="H141" i="3"/>
  <c r="G141" i="3"/>
  <c r="F141" i="3"/>
  <c r="H140" i="3"/>
  <c r="G140" i="3"/>
  <c r="F140" i="3"/>
  <c r="D140" i="3"/>
  <c r="C140" i="3"/>
  <c r="G139" i="3"/>
  <c r="H139" i="3"/>
  <c r="F139" i="3"/>
  <c r="D139" i="3"/>
  <c r="C139" i="3"/>
  <c r="G138" i="3"/>
  <c r="H138" i="3"/>
  <c r="F138" i="3"/>
  <c r="D138" i="3"/>
  <c r="C138" i="3"/>
  <c r="H137" i="3"/>
  <c r="G137" i="3"/>
  <c r="F137" i="3"/>
  <c r="F136" i="3"/>
  <c r="C136" i="3"/>
  <c r="G135" i="3"/>
  <c r="H135" i="3"/>
  <c r="F135" i="3"/>
  <c r="D135" i="3"/>
  <c r="C135" i="3"/>
  <c r="G134" i="3"/>
  <c r="H134" i="3"/>
  <c r="F134" i="3"/>
  <c r="D134" i="3"/>
  <c r="C134" i="3"/>
  <c r="G133" i="3"/>
  <c r="H133" i="3"/>
  <c r="F133" i="3"/>
  <c r="D133" i="3"/>
  <c r="C133" i="3"/>
  <c r="H132" i="3"/>
  <c r="G132" i="3"/>
  <c r="F132" i="3"/>
  <c r="F131" i="3"/>
  <c r="C131" i="3"/>
  <c r="G130" i="3"/>
  <c r="H130" i="3"/>
  <c r="F130" i="3"/>
  <c r="D130" i="3"/>
  <c r="C130" i="3"/>
  <c r="G129" i="3"/>
  <c r="H129" i="3"/>
  <c r="F129" i="3"/>
  <c r="D129" i="3"/>
  <c r="C129" i="3"/>
  <c r="H128" i="3"/>
  <c r="G128" i="3"/>
  <c r="F128" i="3"/>
  <c r="G126" i="3"/>
  <c r="H126" i="3"/>
  <c r="F126" i="3"/>
  <c r="D126" i="3"/>
  <c r="C126" i="3"/>
  <c r="G125" i="3"/>
  <c r="H125" i="3"/>
  <c r="F125" i="3"/>
  <c r="D125" i="3"/>
  <c r="C125" i="3"/>
  <c r="H124" i="3"/>
  <c r="G124" i="3"/>
  <c r="F124" i="3"/>
  <c r="G120" i="3"/>
  <c r="H120" i="3"/>
  <c r="G121" i="3"/>
  <c r="H121" i="3"/>
  <c r="G122" i="3"/>
  <c r="H122" i="3"/>
  <c r="G119" i="3"/>
  <c r="F122" i="3"/>
  <c r="C122" i="3"/>
  <c r="D122" i="3"/>
  <c r="F121" i="3"/>
  <c r="D121" i="3"/>
  <c r="C121" i="3"/>
  <c r="F120" i="3"/>
  <c r="D120" i="3"/>
  <c r="C120" i="3"/>
  <c r="H119" i="3"/>
  <c r="F119" i="3"/>
  <c r="G117" i="3"/>
  <c r="H117" i="3"/>
  <c r="F117" i="3"/>
  <c r="D117" i="3"/>
  <c r="C117" i="3"/>
  <c r="G116" i="3"/>
  <c r="H116" i="3"/>
  <c r="F116" i="3"/>
  <c r="D116" i="3"/>
  <c r="C116" i="3"/>
  <c r="H115" i="3"/>
  <c r="G115" i="3"/>
  <c r="F115" i="3"/>
  <c r="G109" i="3"/>
  <c r="H109" i="3"/>
  <c r="F109" i="3"/>
  <c r="D109" i="3"/>
  <c r="C109" i="3"/>
  <c r="G108" i="3"/>
  <c r="H108" i="3"/>
  <c r="F108" i="3"/>
  <c r="D108" i="3"/>
  <c r="C108" i="3"/>
  <c r="H107" i="3"/>
  <c r="G107" i="3"/>
  <c r="F107" i="3"/>
  <c r="C102" i="3"/>
  <c r="D102" i="3"/>
  <c r="F102" i="3"/>
  <c r="G102" i="3"/>
  <c r="H102" i="3"/>
  <c r="G100" i="3"/>
  <c r="H100" i="3"/>
  <c r="G101" i="3"/>
  <c r="E101" i="3"/>
  <c r="H101" i="3"/>
  <c r="G104" i="3"/>
  <c r="E104" i="3"/>
  <c r="H104" i="3"/>
  <c r="G105" i="3"/>
  <c r="H105" i="3"/>
  <c r="G99" i="3"/>
  <c r="C105" i="3"/>
  <c r="D105" i="3"/>
  <c r="F105" i="3"/>
  <c r="F104" i="3"/>
  <c r="D104" i="3"/>
  <c r="C104" i="3"/>
  <c r="F101" i="3"/>
  <c r="D101" i="3"/>
  <c r="C101" i="3"/>
  <c r="F100" i="3"/>
  <c r="D100" i="3"/>
  <c r="C100" i="3"/>
  <c r="H99" i="3"/>
  <c r="F99" i="3"/>
  <c r="H74" i="3"/>
  <c r="G74" i="3"/>
  <c r="F74" i="3"/>
  <c r="D74" i="3"/>
  <c r="C74" i="3"/>
  <c r="G73" i="3"/>
  <c r="H73" i="3"/>
  <c r="F73" i="3"/>
  <c r="D73" i="3"/>
  <c r="C73" i="3"/>
  <c r="G72" i="3"/>
  <c r="H72" i="3"/>
  <c r="F72" i="3"/>
  <c r="D72" i="3"/>
  <c r="C72" i="3"/>
  <c r="H71" i="3"/>
  <c r="G71" i="3"/>
  <c r="F71" i="3"/>
  <c r="G79" i="3"/>
  <c r="H79" i="3"/>
  <c r="F79" i="3"/>
  <c r="D79" i="3"/>
  <c r="C79" i="3"/>
  <c r="H78" i="3"/>
  <c r="G78" i="3"/>
  <c r="F78" i="3"/>
  <c r="G77" i="3"/>
  <c r="H77" i="3"/>
  <c r="F77" i="3"/>
  <c r="D77" i="3"/>
  <c r="C77" i="3"/>
  <c r="G76" i="3"/>
  <c r="H76" i="3"/>
  <c r="F76" i="3"/>
  <c r="D76" i="3"/>
  <c r="C76" i="3"/>
  <c r="H75" i="3"/>
  <c r="G75" i="3"/>
  <c r="F75" i="3"/>
  <c r="G70" i="3"/>
  <c r="H70" i="3"/>
  <c r="F70" i="3"/>
  <c r="D70" i="3"/>
  <c r="C70" i="3"/>
  <c r="F69" i="3"/>
  <c r="D69" i="3"/>
  <c r="C69" i="3"/>
  <c r="F68" i="3"/>
  <c r="D68" i="3"/>
  <c r="C68" i="3"/>
  <c r="H67" i="3"/>
  <c r="F67" i="3"/>
  <c r="D65" i="3"/>
  <c r="F65" i="3"/>
  <c r="C65" i="3"/>
  <c r="C66" i="3"/>
  <c r="F64" i="3"/>
  <c r="D64" i="3"/>
  <c r="C64" i="3"/>
  <c r="F63" i="3"/>
  <c r="D63" i="3"/>
  <c r="C63" i="3"/>
  <c r="H62" i="3"/>
  <c r="F62" i="3"/>
  <c r="F60" i="3"/>
  <c r="D60" i="3"/>
  <c r="C60" i="3"/>
  <c r="F59" i="3"/>
  <c r="D59" i="3"/>
  <c r="C59" i="3"/>
  <c r="H58" i="3"/>
  <c r="F58" i="3"/>
  <c r="C18" i="6"/>
  <c r="C19" i="6"/>
  <c r="C21" i="6"/>
  <c r="C23" i="6"/>
  <c r="C24" i="6"/>
  <c r="C26" i="6"/>
  <c r="C28" i="6"/>
  <c r="C29" i="6"/>
  <c r="C30" i="6"/>
  <c r="C31" i="6"/>
  <c r="C17" i="6"/>
  <c r="H57" i="3"/>
  <c r="G56" i="3"/>
  <c r="H56" i="3"/>
  <c r="F56" i="3"/>
  <c r="D56" i="3"/>
  <c r="C56" i="3"/>
  <c r="G55" i="3"/>
  <c r="H55" i="3"/>
  <c r="F55" i="3"/>
  <c r="D55" i="3"/>
  <c r="C55" i="3"/>
  <c r="H54" i="3"/>
  <c r="G54" i="3"/>
  <c r="F54" i="3"/>
  <c r="C52" i="3"/>
  <c r="D52" i="3"/>
  <c r="F52" i="3"/>
  <c r="C53" i="3"/>
  <c r="D53" i="3"/>
  <c r="F53" i="3"/>
  <c r="G53" i="3"/>
  <c r="H53" i="3"/>
  <c r="C57" i="3"/>
  <c r="D57" i="3"/>
  <c r="F57" i="3"/>
  <c r="G57" i="3"/>
  <c r="F51" i="3"/>
  <c r="D51" i="3"/>
  <c r="C51" i="3"/>
  <c r="C61" i="3"/>
  <c r="G45" i="3"/>
  <c r="H45" i="3"/>
  <c r="G46" i="3"/>
  <c r="H46" i="3"/>
  <c r="G47" i="3"/>
  <c r="H47" i="3"/>
  <c r="G48" i="3"/>
  <c r="H48" i="3"/>
  <c r="G44" i="3"/>
  <c r="H50" i="3"/>
  <c r="F50" i="3"/>
  <c r="F48" i="3"/>
  <c r="D48" i="3"/>
  <c r="C48" i="3"/>
  <c r="F47" i="3"/>
  <c r="D47" i="3"/>
  <c r="C47" i="3"/>
  <c r="F46" i="3"/>
  <c r="D46" i="3"/>
  <c r="C46" i="3"/>
  <c r="F45" i="3"/>
  <c r="D45" i="3"/>
  <c r="C45" i="3"/>
  <c r="H44" i="3"/>
  <c r="F44" i="3"/>
  <c r="G39" i="3"/>
  <c r="H39" i="3"/>
  <c r="G40" i="3"/>
  <c r="H40" i="3"/>
  <c r="G38" i="3"/>
  <c r="H38" i="3"/>
  <c r="G41" i="3"/>
  <c r="H41" i="3"/>
  <c r="G42" i="3"/>
  <c r="H42" i="3"/>
  <c r="G37" i="3"/>
  <c r="H43" i="3"/>
  <c r="H49" i="3"/>
  <c r="G43" i="3"/>
  <c r="F41" i="3"/>
  <c r="F42" i="3"/>
  <c r="F43" i="3"/>
  <c r="D41" i="3"/>
  <c r="D42" i="3"/>
  <c r="D43" i="3"/>
  <c r="C40" i="3"/>
  <c r="C41" i="3"/>
  <c r="C42" i="3"/>
  <c r="C43" i="3"/>
  <c r="C49" i="3"/>
  <c r="G34" i="3"/>
  <c r="H34" i="3"/>
  <c r="G35" i="3"/>
  <c r="H35" i="3"/>
  <c r="G33" i="3"/>
  <c r="G31" i="3"/>
  <c r="H31" i="3"/>
  <c r="G30" i="3"/>
  <c r="H36" i="3"/>
  <c r="H37" i="3"/>
  <c r="G36" i="3"/>
  <c r="G26" i="3"/>
  <c r="H26" i="3"/>
  <c r="G27" i="3"/>
  <c r="H27" i="3"/>
  <c r="G28" i="3"/>
  <c r="H28" i="3"/>
  <c r="G25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9" i="3"/>
  <c r="F61" i="3"/>
  <c r="F66" i="3"/>
  <c r="F80" i="3"/>
  <c r="F106" i="3"/>
  <c r="F110" i="3"/>
  <c r="F118" i="3"/>
  <c r="F123" i="3"/>
  <c r="F144" i="3"/>
  <c r="F151" i="3"/>
  <c r="F164" i="3"/>
  <c r="F27" i="3"/>
  <c r="F26" i="3"/>
  <c r="F22" i="3"/>
  <c r="G22" i="3"/>
  <c r="H22" i="3"/>
  <c r="F23" i="3"/>
  <c r="G23" i="3"/>
  <c r="H23" i="3"/>
  <c r="G21" i="3"/>
  <c r="F19" i="3"/>
  <c r="G19" i="3"/>
  <c r="H19" i="3"/>
  <c r="F18" i="3"/>
  <c r="G18" i="3"/>
  <c r="H18" i="3"/>
  <c r="F15" i="3"/>
  <c r="G15" i="3"/>
  <c r="H15" i="3"/>
  <c r="F12" i="3"/>
  <c r="G12" i="3"/>
  <c r="H12" i="3"/>
  <c r="F11" i="3"/>
  <c r="G11" i="3"/>
  <c r="H11" i="3"/>
  <c r="F8" i="3"/>
  <c r="G8" i="3"/>
  <c r="H8" i="3"/>
  <c r="F7" i="3"/>
  <c r="G7" i="3"/>
  <c r="H7" i="3"/>
  <c r="G17" i="3"/>
  <c r="G14" i="3"/>
  <c r="D12" i="3"/>
  <c r="C12" i="3"/>
  <c r="D11" i="3"/>
  <c r="C11" i="3"/>
  <c r="H10" i="3"/>
  <c r="G10" i="3"/>
  <c r="F10" i="3"/>
  <c r="G6" i="3"/>
  <c r="F3" i="3"/>
  <c r="G3" i="3"/>
  <c r="H3" i="3"/>
  <c r="F4" i="3"/>
  <c r="G4" i="3"/>
  <c r="H4" i="3"/>
  <c r="G2" i="3"/>
  <c r="F6" i="3"/>
  <c r="F9" i="3"/>
  <c r="F13" i="3"/>
  <c r="F14" i="3"/>
  <c r="F16" i="3"/>
  <c r="F17" i="3"/>
  <c r="F20" i="3"/>
  <c r="F21" i="3"/>
  <c r="O11" i="5"/>
  <c r="L11" i="5"/>
  <c r="I11" i="5"/>
  <c r="F11" i="5"/>
  <c r="C11" i="5"/>
  <c r="K7" i="6"/>
  <c r="K6" i="6"/>
  <c r="K5" i="6"/>
  <c r="K4" i="6"/>
  <c r="H6" i="3"/>
  <c r="J20" i="6"/>
  <c r="J21" i="6"/>
  <c r="F21" i="6"/>
  <c r="G21" i="6"/>
  <c r="J27" i="6"/>
  <c r="F27" i="6"/>
  <c r="J28" i="6"/>
  <c r="F28" i="6"/>
  <c r="G28" i="6"/>
  <c r="J29" i="6"/>
  <c r="F29" i="6"/>
  <c r="G29" i="6"/>
  <c r="J30" i="6"/>
  <c r="F30" i="6"/>
  <c r="G30" i="6"/>
  <c r="J31" i="6"/>
  <c r="F31" i="6"/>
  <c r="G31" i="6"/>
  <c r="F33" i="6"/>
  <c r="G33" i="6"/>
  <c r="F35" i="6"/>
  <c r="G35" i="6"/>
  <c r="F37" i="6"/>
  <c r="G37" i="6"/>
  <c r="J38" i="6"/>
  <c r="F38" i="6"/>
  <c r="G38" i="6"/>
  <c r="J39" i="6"/>
  <c r="F39" i="6"/>
  <c r="G39" i="6"/>
  <c r="J40" i="6"/>
  <c r="F40" i="6"/>
  <c r="G40" i="6"/>
  <c r="J41" i="6"/>
  <c r="F41" i="6"/>
  <c r="G41" i="6"/>
  <c r="J42" i="6"/>
  <c r="F42" i="6"/>
  <c r="G42" i="6"/>
  <c r="J43" i="6"/>
  <c r="F43" i="6"/>
  <c r="G43" i="6"/>
  <c r="J44" i="6"/>
  <c r="F44" i="6"/>
  <c r="G44" i="6"/>
  <c r="F45" i="6"/>
  <c r="G45" i="6"/>
  <c r="K20" i="6"/>
  <c r="K21" i="6"/>
  <c r="K27" i="6"/>
  <c r="K28" i="6"/>
  <c r="K29" i="6"/>
  <c r="K30" i="6"/>
  <c r="K31" i="6"/>
  <c r="D18" i="6"/>
  <c r="D19" i="6"/>
  <c r="D21" i="6"/>
  <c r="D23" i="6"/>
  <c r="D24" i="6"/>
  <c r="D26" i="6"/>
  <c r="D27" i="6"/>
  <c r="D28" i="6"/>
  <c r="D29" i="6"/>
  <c r="D30" i="6"/>
  <c r="D31" i="6"/>
  <c r="D33" i="6"/>
  <c r="D35" i="6"/>
  <c r="D17" i="6"/>
  <c r="G9" i="3"/>
  <c r="H9" i="3"/>
  <c r="G13" i="3"/>
  <c r="H13" i="3"/>
  <c r="H14" i="3"/>
  <c r="H16" i="3"/>
  <c r="H17" i="3"/>
  <c r="H20" i="3"/>
  <c r="H21" i="3"/>
  <c r="H24" i="3"/>
  <c r="H25" i="3"/>
  <c r="G29" i="3"/>
  <c r="H29" i="3"/>
  <c r="H30" i="3"/>
  <c r="G32" i="3"/>
  <c r="H32" i="3"/>
  <c r="H33" i="3"/>
  <c r="G16" i="3"/>
  <c r="G20" i="3"/>
  <c r="G24" i="3"/>
  <c r="D4" i="3"/>
  <c r="D7" i="3"/>
  <c r="D8" i="3"/>
  <c r="D9" i="3"/>
  <c r="D13" i="3"/>
  <c r="D15" i="3"/>
  <c r="D16" i="3"/>
  <c r="D18" i="3"/>
  <c r="D19" i="3"/>
  <c r="D20" i="3"/>
  <c r="D22" i="3"/>
  <c r="D23" i="3"/>
  <c r="D24" i="3"/>
  <c r="D26" i="3"/>
  <c r="D27" i="3"/>
  <c r="D28" i="3"/>
  <c r="D29" i="3"/>
  <c r="D31" i="3"/>
  <c r="D32" i="3"/>
  <c r="D34" i="3"/>
  <c r="D35" i="3"/>
  <c r="D36" i="3"/>
  <c r="D38" i="3"/>
  <c r="D39" i="3"/>
  <c r="D40" i="3"/>
  <c r="C4" i="3"/>
  <c r="C7" i="3"/>
  <c r="C8" i="3"/>
  <c r="C9" i="3"/>
  <c r="C13" i="3"/>
  <c r="C15" i="3"/>
  <c r="C16" i="3"/>
  <c r="C18" i="3"/>
  <c r="C19" i="3"/>
  <c r="C20" i="3"/>
  <c r="C22" i="3"/>
  <c r="C23" i="3"/>
  <c r="C24" i="3"/>
  <c r="C26" i="3"/>
  <c r="C27" i="3"/>
  <c r="C28" i="3"/>
  <c r="C29" i="3"/>
  <c r="C31" i="3"/>
  <c r="C32" i="3"/>
  <c r="C34" i="3"/>
  <c r="C35" i="3"/>
  <c r="C36" i="3"/>
  <c r="C38" i="3"/>
  <c r="C39" i="3"/>
  <c r="D3" i="3"/>
  <c r="C3" i="3"/>
</calcChain>
</file>

<file path=xl/sharedStrings.xml><?xml version="1.0" encoding="utf-8"?>
<sst xmlns="http://schemas.openxmlformats.org/spreadsheetml/2006/main" count="1543" uniqueCount="543">
  <si>
    <t xml:space="preserve">Catégories </t>
  </si>
  <si>
    <t>Unitées</t>
  </si>
  <si>
    <t>Type</t>
  </si>
  <si>
    <t>Source</t>
  </si>
  <si>
    <t>Famille</t>
  </si>
  <si>
    <t>PP</t>
  </si>
  <si>
    <t>h</t>
  </si>
  <si>
    <t>Main d'œuvre</t>
  </si>
  <si>
    <t>MO</t>
  </si>
  <si>
    <t>ST</t>
  </si>
  <si>
    <t>Matériel</t>
  </si>
  <si>
    <t>Béton</t>
  </si>
  <si>
    <t>CT</t>
  </si>
  <si>
    <t>Matériaux</t>
  </si>
  <si>
    <t>Acier</t>
  </si>
  <si>
    <t>SV</t>
  </si>
  <si>
    <t>Divers</t>
  </si>
  <si>
    <t>D</t>
  </si>
  <si>
    <t>ml</t>
  </si>
  <si>
    <t>Appuis</t>
  </si>
  <si>
    <t>m2</t>
  </si>
  <si>
    <t>m3</t>
  </si>
  <si>
    <t>kg</t>
  </si>
  <si>
    <t>Consommable</t>
  </si>
  <si>
    <t>u</t>
  </si>
  <si>
    <t>ens</t>
  </si>
  <si>
    <t>Bois</t>
  </si>
  <si>
    <t>Code</t>
  </si>
  <si>
    <t>Catégories</t>
  </si>
  <si>
    <t>Désignation</t>
  </si>
  <si>
    <t>Prix unitaire</t>
  </si>
  <si>
    <t xml:space="preserve">Coef de perte </t>
  </si>
  <si>
    <t>Commentaire</t>
  </si>
  <si>
    <t>MOQ</t>
  </si>
  <si>
    <t xml:space="preserve">Main d'œuvre ouvrier qualifié </t>
  </si>
  <si>
    <t>MOMAN</t>
  </si>
  <si>
    <t>Main d'œuvre Manœuvre</t>
  </si>
  <si>
    <t>BETX0</t>
  </si>
  <si>
    <t>Béton X0</t>
  </si>
  <si>
    <t>BETXC1</t>
  </si>
  <si>
    <t>Béton XC1 C20/25</t>
  </si>
  <si>
    <t>BETXC2</t>
  </si>
  <si>
    <t>Béton XC2 C20/25</t>
  </si>
  <si>
    <t>BETXC3</t>
  </si>
  <si>
    <t>Béton XC3 C25/30</t>
  </si>
  <si>
    <t>BETXC4</t>
  </si>
  <si>
    <t>Béton XC4 C25/30</t>
  </si>
  <si>
    <t>BETXF1</t>
  </si>
  <si>
    <t>Béton XF1 C25/30</t>
  </si>
  <si>
    <t>BETXF2</t>
  </si>
  <si>
    <t>Béton XF2 C25/30</t>
  </si>
  <si>
    <t>BETXF3</t>
  </si>
  <si>
    <t>Béton XF3 C30/37</t>
  </si>
  <si>
    <t>BETXF4</t>
  </si>
  <si>
    <t>Béton XF4 C30/37</t>
  </si>
  <si>
    <t>BETXS1</t>
  </si>
  <si>
    <t>Béton XS1 C30/37</t>
  </si>
  <si>
    <t>BETXS2</t>
  </si>
  <si>
    <t>Béton XS2 C30/37</t>
  </si>
  <si>
    <t>BETXS3</t>
  </si>
  <si>
    <t>Béton XS3 C35/45</t>
  </si>
  <si>
    <t>BETXD1</t>
  </si>
  <si>
    <t>Béton XD1 C25/30</t>
  </si>
  <si>
    <t>BETXD2</t>
  </si>
  <si>
    <t>Béton XD2 C30/37</t>
  </si>
  <si>
    <t>BETXD3</t>
  </si>
  <si>
    <t>Béton XD3 C35/45</t>
  </si>
  <si>
    <t>BETXA1</t>
  </si>
  <si>
    <t>Béton XA1 C30/37</t>
  </si>
  <si>
    <t>BETXA2</t>
  </si>
  <si>
    <t>Béton XA2 C35/45</t>
  </si>
  <si>
    <t>BETXA3</t>
  </si>
  <si>
    <t>Béton XA2 C40/50</t>
  </si>
  <si>
    <t>CIMGRIS</t>
  </si>
  <si>
    <t>Liants</t>
  </si>
  <si>
    <t>Ciment CEM II/B-LL NF 32.5 R - Usage courant</t>
  </si>
  <si>
    <t>1.10</t>
  </si>
  <si>
    <t>CIMFROID</t>
  </si>
  <si>
    <t>Ciment Performat CEM I PM-CP2 52.5N - Usage temps froid</t>
  </si>
  <si>
    <t>CIMAGRE</t>
  </si>
  <si>
    <t>Ciment CEM II/A-S-PM-CP2 52.5N - Usage milieu agressif</t>
  </si>
  <si>
    <t>CIMBLANC</t>
  </si>
  <si>
    <t>Ciment Super blanc CEM II/B-L CE CP2 NF 32.5R</t>
  </si>
  <si>
    <t>Ciment fondu</t>
  </si>
  <si>
    <t>MORTSTD</t>
  </si>
  <si>
    <t>Mortier</t>
  </si>
  <si>
    <t>Mortier standard M20</t>
  </si>
  <si>
    <t>MORTFIN</t>
  </si>
  <si>
    <t>Mortier fin</t>
  </si>
  <si>
    <t>MORTRAPIDE</t>
  </si>
  <si>
    <t>Mortier ultra-rapide</t>
  </si>
  <si>
    <t>MORTLEG</t>
  </si>
  <si>
    <t>Mortier léger</t>
  </si>
  <si>
    <t>MORTBRIQ</t>
  </si>
  <si>
    <t>Mortier de jointement mince pour briques</t>
  </si>
  <si>
    <t>MORTCELL</t>
  </si>
  <si>
    <t>Moriter-colle pour béton cellulaire</t>
  </si>
  <si>
    <t>MORTRAGREPAIS</t>
  </si>
  <si>
    <t>Mortier épais 112 lakomur gris clair</t>
  </si>
  <si>
    <t>MORTRAGRFIN</t>
  </si>
  <si>
    <t>Mortier épais 102 lakomur fin</t>
  </si>
  <si>
    <t>MORTRREPARMURR2</t>
  </si>
  <si>
    <t>Mortier 730 Lankorep fin gris</t>
  </si>
  <si>
    <t>MORTREPARMURR3</t>
  </si>
  <si>
    <t>Mortier 731 Lankorep</t>
  </si>
  <si>
    <t>MORTREPARMURR4</t>
  </si>
  <si>
    <t>Mortier Sika monotop 412N gris</t>
  </si>
  <si>
    <t>MORTSCELL</t>
  </si>
  <si>
    <t>Mortier de scellement</t>
  </si>
  <si>
    <t>RESINESCELL</t>
  </si>
  <si>
    <t>Résine de scellement</t>
  </si>
  <si>
    <t>l</t>
  </si>
  <si>
    <t>SABLE04V</t>
  </si>
  <si>
    <t>Agregats</t>
  </si>
  <si>
    <t>Sable 0/4 - 0/5 - Vrac</t>
  </si>
  <si>
    <t>SABLE04B</t>
  </si>
  <si>
    <t>Sable 0/4 - 0/5 - Big Bag</t>
  </si>
  <si>
    <t>TVV</t>
  </si>
  <si>
    <t>Tout venant - Vrac</t>
  </si>
  <si>
    <t>GRAVV</t>
  </si>
  <si>
    <t>Gravillon concassés ou roulés - Vrac</t>
  </si>
  <si>
    <t>GRAVB</t>
  </si>
  <si>
    <t>Gravillon concassés ou roulés - Big Bag</t>
  </si>
  <si>
    <t>POUZZ</t>
  </si>
  <si>
    <t>Pouzzolane 20/50</t>
  </si>
  <si>
    <t>MELBETV</t>
  </si>
  <si>
    <t>Mélange à béton - Vrac</t>
  </si>
  <si>
    <t>MELBETB</t>
  </si>
  <si>
    <t>Mélange à béton - Big Bag</t>
  </si>
  <si>
    <t>BILLEARG</t>
  </si>
  <si>
    <t>Granulats argile expansée</t>
  </si>
  <si>
    <t>HACFM</t>
  </si>
  <si>
    <t>Acier HA coupé, façonné, monté</t>
  </si>
  <si>
    <t>HACF</t>
  </si>
  <si>
    <t>Acier HA coupé, façonné</t>
  </si>
  <si>
    <t>HA</t>
  </si>
  <si>
    <t>Acier HA brut</t>
  </si>
  <si>
    <t>STFISSUR</t>
  </si>
  <si>
    <t>Treillis soudé Anti-fussuration</t>
  </si>
  <si>
    <t>PAFR</t>
  </si>
  <si>
    <t>Treillis soudé PAF R</t>
  </si>
  <si>
    <t>PAFC</t>
  </si>
  <si>
    <t>Treillis soudé PAF C</t>
  </si>
  <si>
    <t>ST10</t>
  </si>
  <si>
    <t>Treillis soudé ST10</t>
  </si>
  <si>
    <t>ST20</t>
  </si>
  <si>
    <t>Treillis soudé ST20</t>
  </si>
  <si>
    <t>ST25</t>
  </si>
  <si>
    <t>Treillis soudé ST25</t>
  </si>
  <si>
    <t>ST30</t>
  </si>
  <si>
    <t>Treillis soudé ST30</t>
  </si>
  <si>
    <t>ST35</t>
  </si>
  <si>
    <t>Treillis soudé ST35</t>
  </si>
  <si>
    <t>ST50</t>
  </si>
  <si>
    <t>Treillis soudé ST50</t>
  </si>
  <si>
    <t>ST60</t>
  </si>
  <si>
    <t>Treillis soudé ST60</t>
  </si>
  <si>
    <t>ST15C</t>
  </si>
  <si>
    <t>Treillis soudé ST15C</t>
  </si>
  <si>
    <t>ST25C</t>
  </si>
  <si>
    <t>Treillis soudé ST25C</t>
  </si>
  <si>
    <t>ST25CS</t>
  </si>
  <si>
    <t>Treillis soudé ST25CS</t>
  </si>
  <si>
    <t>ST40C</t>
  </si>
  <si>
    <t>Treillis soudé ST40C</t>
  </si>
  <si>
    <t>ST50C</t>
  </si>
  <si>
    <t>Treillis soudé ST50C</t>
  </si>
  <si>
    <t>ST65C</t>
  </si>
  <si>
    <t>Treillis soudé ST60C</t>
  </si>
  <si>
    <t>CTBX18</t>
  </si>
  <si>
    <t>Panneau CTBX 18mm</t>
  </si>
  <si>
    <t>BAST</t>
  </si>
  <si>
    <t>Bastaing de coffrage non traité</t>
  </si>
  <si>
    <t>COFFRBOIS</t>
  </si>
  <si>
    <t>Planche de coffrage non traité ep27mm</t>
  </si>
  <si>
    <t>CONTREPLAQ</t>
  </si>
  <si>
    <t>Contreplaqué de coffrage filmé résineux ep 15mm</t>
  </si>
  <si>
    <t>DOKA200</t>
  </si>
  <si>
    <t>Poutrelle doka de coffrage ep 200mm</t>
  </si>
  <si>
    <t>POINTEBOIS</t>
  </si>
  <si>
    <t>Pointes à bois</t>
  </si>
  <si>
    <t>Blocs</t>
  </si>
  <si>
    <t>Bloc creux 500x100x200mm</t>
  </si>
  <si>
    <t>Bloc creux 500x150x200mm</t>
  </si>
  <si>
    <t>Bloc creux 500x200x200mm</t>
  </si>
  <si>
    <t>Bloc creux chaînage vertical 500x200x200mm</t>
  </si>
  <si>
    <t>Bloc creux chaînage horizontal 500x200x200mm</t>
  </si>
  <si>
    <t>Bloc à bancher 500x200x200mm</t>
  </si>
  <si>
    <t>Bloc à bancher 500x275x200mm</t>
  </si>
  <si>
    <t>BRIR20</t>
  </si>
  <si>
    <t>Briques</t>
  </si>
  <si>
    <t>Brique R20 R=0.72 m².K/W - 500x200x249mm</t>
  </si>
  <si>
    <t>BRIGF</t>
  </si>
  <si>
    <t>Brique GF R20 R=1.02m².K/W - 500x200x299mm</t>
  </si>
  <si>
    <t>BRIBGVPV</t>
  </si>
  <si>
    <t>Brique BGV PV R20 R=0.80 m².K/W - 560x200x274mm</t>
  </si>
  <si>
    <t>BRIOPTI</t>
  </si>
  <si>
    <t>Brique Optibric PV3+ R=1.07 m².K/W - 560x200x274mm</t>
  </si>
  <si>
    <t>BRIOPTIPOT</t>
  </si>
  <si>
    <t>Brique poteau sismique Optibric PV3 - 560x200x274mm</t>
  </si>
  <si>
    <t>BRIGFPOT</t>
  </si>
  <si>
    <t>Brique poteau GF R20 - 450x200x299mm</t>
  </si>
  <si>
    <t>BRIOPTILINT</t>
  </si>
  <si>
    <t>Brique linteau Optibric - 560x200x219mm</t>
  </si>
  <si>
    <t>BRIGFLINT</t>
  </si>
  <si>
    <t>Brique linteau GF R20 - 500x200x299mm</t>
  </si>
  <si>
    <t>BLOCCELL20</t>
  </si>
  <si>
    <t>Blocs cellulaire</t>
  </si>
  <si>
    <t>Bloc cellulaire compact 20 TP à poignées - H=25cm - 625x200x250mm</t>
  </si>
  <si>
    <t>BLOCCELL20ANGLE</t>
  </si>
  <si>
    <t>Bloc d'angle cellulaire Thermopierre - H=25cm - 625x200x250mm</t>
  </si>
  <si>
    <t>BLOCCELL25CHAIN</t>
  </si>
  <si>
    <t>Bloc chaînage cellulaire Thermopierre - H=25cm - 625x250x250mm</t>
  </si>
  <si>
    <t>BLOCCELL25ANGLE</t>
  </si>
  <si>
    <t>Bloc d'angle cellulaire Thermopierre - H=25cm - 625x250x250mm</t>
  </si>
  <si>
    <t>Appuis en béton gris profondeur 35cm</t>
  </si>
  <si>
    <t>APPUIPIERRE35</t>
  </si>
  <si>
    <t>Appuis en béton ton pierre profondeur 35cm</t>
  </si>
  <si>
    <t>APPUIBLANC35</t>
  </si>
  <si>
    <t>Appuis en bétonblanc profondeur 35cm</t>
  </si>
  <si>
    <t>ECARTNAPPE</t>
  </si>
  <si>
    <t>Accessoire de coffrage</t>
  </si>
  <si>
    <t xml:space="preserve">Ecarteur de nappe </t>
  </si>
  <si>
    <t>REGLEJOINT</t>
  </si>
  <si>
    <t>Règle à béton avec jonction 40mm</t>
  </si>
  <si>
    <t>BLOCAIMANT</t>
  </si>
  <si>
    <t xml:space="preserve">Bloc aimanté pour maintien des mannequins </t>
  </si>
  <si>
    <t>CONEBETON</t>
  </si>
  <si>
    <t xml:space="preserve">Cône béton de rebouchage </t>
  </si>
  <si>
    <t>GOUTTEEAU</t>
  </si>
  <si>
    <t>Goutte d'eau négatif 20x10mm</t>
  </si>
  <si>
    <t>HUILEDEMOUL</t>
  </si>
  <si>
    <t xml:space="preserve">Huile végétale pour démoulage </t>
  </si>
  <si>
    <t>COFFRPOTDIAM20</t>
  </si>
  <si>
    <t>Tube de coffrage poteau circulaire diam 20cm</t>
  </si>
  <si>
    <t>COFFRPOTDIAM25</t>
  </si>
  <si>
    <t>Tube de coffrage poteau circulaire diam 25cm</t>
  </si>
  <si>
    <t>COFFRPOTDIAM30</t>
  </si>
  <si>
    <t>Tube de coffrage poteau circulaire diam 30cm</t>
  </si>
  <si>
    <t>COFFRPOTDIAM35</t>
  </si>
  <si>
    <t>Tube de coffrage poteau circulaire diam 35cm</t>
  </si>
  <si>
    <t>COFFRPOTDIAM40</t>
  </si>
  <si>
    <t>Tube de coffrage poteau circulaire diam 40cm</t>
  </si>
  <si>
    <t>COFFRPOT20x20</t>
  </si>
  <si>
    <t>Tube de coffrage poteau 20x20</t>
  </si>
  <si>
    <t>COFFRPOT25x25</t>
  </si>
  <si>
    <t>Tube de coffrage poteau 25x25</t>
  </si>
  <si>
    <t>COFFRPOT30x30</t>
  </si>
  <si>
    <t>Tube de coffrage poteau 30x30</t>
  </si>
  <si>
    <t>COFFRJD20</t>
  </si>
  <si>
    <t>Plaque pour joint de dilatation carton ep 20mm</t>
  </si>
  <si>
    <t>COFFRJD40</t>
  </si>
  <si>
    <t>Plaque pour joint de dilatation carton ep 40mm</t>
  </si>
  <si>
    <t>MORTIMPER</t>
  </si>
  <si>
    <t>Imperméabilisation</t>
  </si>
  <si>
    <t>Mortier d'imperméabilisation</t>
  </si>
  <si>
    <t>CUVELAGE</t>
  </si>
  <si>
    <t>Cuvelage Sikatop 121 gris</t>
  </si>
  <si>
    <t>BITUME</t>
  </si>
  <si>
    <t>Bitume d'imperméabilisation des parois enterrées</t>
  </si>
  <si>
    <t>IMPERSOL</t>
  </si>
  <si>
    <t>Peinture de sol d'imperméabilisation</t>
  </si>
  <si>
    <t>ENKADRAIN</t>
  </si>
  <si>
    <t xml:space="preserve">Enkadrain CKL10B </t>
  </si>
  <si>
    <t>PROFILENKADRAIN</t>
  </si>
  <si>
    <t>Profil pour enkadrain</t>
  </si>
  <si>
    <t>RONDELPROFILENKADRAIN</t>
  </si>
  <si>
    <t>Rondelle et fixations enkadrain</t>
  </si>
  <si>
    <t>FONDJOINT</t>
  </si>
  <si>
    <t>Joints de dilatation</t>
  </si>
  <si>
    <t>Fond de joint creux 20mm</t>
  </si>
  <si>
    <t>COUVREJOINT</t>
  </si>
  <si>
    <t>Couvre-joint plat avec clips 70mm PVC Blanc</t>
  </si>
  <si>
    <t>ADJUVHYDRO</t>
  </si>
  <si>
    <t>Adjuvants</t>
  </si>
  <si>
    <t>Hydrofuge béton et mortier</t>
  </si>
  <si>
    <t>ADJUVGEL</t>
  </si>
  <si>
    <t xml:space="preserve">Antigel </t>
  </si>
  <si>
    <t>ADJUVACCEL</t>
  </si>
  <si>
    <t>Accélérateur de prise</t>
  </si>
  <si>
    <t>ADJUVRETARD</t>
  </si>
  <si>
    <t>Retardateur de prise</t>
  </si>
  <si>
    <t>ADJUVDESAC</t>
  </si>
  <si>
    <t>Désactivant</t>
  </si>
  <si>
    <t>FILMPOLY150</t>
  </si>
  <si>
    <t>Films</t>
  </si>
  <si>
    <t>Film type 150</t>
  </si>
  <si>
    <t>FILMPOLY200</t>
  </si>
  <si>
    <t>Film type 200</t>
  </si>
  <si>
    <t>FILMPOLY300</t>
  </si>
  <si>
    <t>Film type 300</t>
  </si>
  <si>
    <t>FILMTHERMITE</t>
  </si>
  <si>
    <t>Film anti-thermite et anti-racines</t>
  </si>
  <si>
    <t>Code Sous-détail</t>
  </si>
  <si>
    <t>Code ressources</t>
  </si>
  <si>
    <t>Quantitée</t>
  </si>
  <si>
    <t>BETPROP</t>
  </si>
  <si>
    <t xml:space="preserve">Calcul du coef de vente Propre </t>
  </si>
  <si>
    <t>Calcul du coef de vente ST</t>
  </si>
  <si>
    <t>Calcul du coef de vente CT</t>
  </si>
  <si>
    <t>Calcul du coef de vente Service</t>
  </si>
  <si>
    <t>Calcul du coef de vente Divers</t>
  </si>
  <si>
    <t xml:space="preserve">Désignation </t>
  </si>
  <si>
    <t>Taux</t>
  </si>
  <si>
    <t>Frais généraux</t>
  </si>
  <si>
    <t>Assurance</t>
  </si>
  <si>
    <t>BE techniques</t>
  </si>
  <si>
    <t xml:space="preserve">Compte prorata </t>
  </si>
  <si>
    <t>Frais de chantier</t>
  </si>
  <si>
    <t xml:space="preserve">Bénéfice </t>
  </si>
  <si>
    <t xml:space="preserve">Rappel coef </t>
  </si>
  <si>
    <t>PU DS</t>
  </si>
  <si>
    <t>Coef</t>
  </si>
  <si>
    <t xml:space="preserve">Récap Vente </t>
  </si>
  <si>
    <t>Récap déboursé sec</t>
  </si>
  <si>
    <t>Montant total HT</t>
  </si>
  <si>
    <t>€</t>
  </si>
  <si>
    <t>Montant toal HT</t>
  </si>
  <si>
    <t>Montant TVA</t>
  </si>
  <si>
    <t>Montant TTC</t>
  </si>
  <si>
    <t>Récapitulatif par Type</t>
  </si>
  <si>
    <t>Mains d'œuvre</t>
  </si>
  <si>
    <t>H</t>
  </si>
  <si>
    <t>Matériels</t>
  </si>
  <si>
    <t xml:space="preserve">Matériaux </t>
  </si>
  <si>
    <t xml:space="preserve">Récapitulatif par Catégories </t>
  </si>
  <si>
    <t xml:space="preserve">Travaux propre </t>
  </si>
  <si>
    <t>Sous-traitance</t>
  </si>
  <si>
    <t>Co-traitance</t>
  </si>
  <si>
    <t>Service</t>
  </si>
  <si>
    <t>SCELLBARRE</t>
  </si>
  <si>
    <t xml:space="preserve">Scellement de barre dans béton </t>
  </si>
  <si>
    <t xml:space="preserve">Abattage d'arbres jusqu’à 1,00m de circonférence </t>
  </si>
  <si>
    <t>LOCTRONCO</t>
  </si>
  <si>
    <t>Location</t>
  </si>
  <si>
    <t>J</t>
  </si>
  <si>
    <t>ABBATARBRE1</t>
  </si>
  <si>
    <t>ABBATARBRE2</t>
  </si>
  <si>
    <t xml:space="preserve">Abattage d'arbres jusqu’à 2,00m de circonférence </t>
  </si>
  <si>
    <t>DEBROU</t>
  </si>
  <si>
    <t xml:space="preserve">Débroussaillage du terrain </t>
  </si>
  <si>
    <t>DECAPMAN</t>
  </si>
  <si>
    <t>Décapage manuel de terre ep 10cm</t>
  </si>
  <si>
    <t>LOCBENNES</t>
  </si>
  <si>
    <t>U</t>
  </si>
  <si>
    <t xml:space="preserve">Location de bennes 6m3 y compris evacuation </t>
  </si>
  <si>
    <t>FOUILMAN</t>
  </si>
  <si>
    <t xml:space="preserve">Fouilles manuelle en excavation de terre </t>
  </si>
  <si>
    <t>Ens</t>
  </si>
  <si>
    <t>FOUILMECA</t>
  </si>
  <si>
    <t>Fouilles mécanique en excavation de terre classe A / B</t>
  </si>
  <si>
    <t>LOCTRACTO</t>
  </si>
  <si>
    <t xml:space="preserve">Location de tractopelle </t>
  </si>
  <si>
    <t xml:space="preserve">Remblaiement avec terre du site </t>
  </si>
  <si>
    <t>REMBLAINF</t>
  </si>
  <si>
    <t>REMBLAIF</t>
  </si>
  <si>
    <t xml:space="preserve">Remblai en tout venant </t>
  </si>
  <si>
    <t>BETMAN</t>
  </si>
  <si>
    <t xml:space="preserve">Carburant pour machine </t>
  </si>
  <si>
    <t>CARBU</t>
  </si>
  <si>
    <t>Fabrication béton à 250kg/m3 à la main</t>
  </si>
  <si>
    <t>MORTMAIN</t>
  </si>
  <si>
    <t>Fabrication mortier à 250kg/m3 à la main</t>
  </si>
  <si>
    <t>BETFOND</t>
  </si>
  <si>
    <t>Béton pour fondations XC2</t>
  </si>
  <si>
    <t>Béton de propreté</t>
  </si>
  <si>
    <t>BETREMPLIS</t>
  </si>
  <si>
    <t>Gros béton sous fondations</t>
  </si>
  <si>
    <t>COFFRFOND</t>
  </si>
  <si>
    <t>Coffrage pour fondations</t>
  </si>
  <si>
    <t>Divers petits matériaux</t>
  </si>
  <si>
    <t>DIV</t>
  </si>
  <si>
    <t>PVPOMPE</t>
  </si>
  <si>
    <t>Plus Value pour pompe à béton</t>
  </si>
  <si>
    <t xml:space="preserve">Plus Value pour béton pompé </t>
  </si>
  <si>
    <t>PVBETPOMPE</t>
  </si>
  <si>
    <t xml:space="preserve">Plus Value pour béton hydrofuge </t>
  </si>
  <si>
    <t>TS</t>
  </si>
  <si>
    <t>Treillis soudé standard</t>
  </si>
  <si>
    <t>Acier HA pour fondations</t>
  </si>
  <si>
    <t>HAFOND</t>
  </si>
  <si>
    <t>TSFOND</t>
  </si>
  <si>
    <t>Acier TS pour fondations</t>
  </si>
  <si>
    <t>CUNETTE</t>
  </si>
  <si>
    <t>Cunette en négatif dans béton 10x10cm</t>
  </si>
  <si>
    <t>BETSURF</t>
  </si>
  <si>
    <t>Surfacage à la liseuse béton</t>
  </si>
  <si>
    <t>LOCSURF</t>
  </si>
  <si>
    <t>Location surfaceuse béton</t>
  </si>
  <si>
    <t>POLYANE</t>
  </si>
  <si>
    <t xml:space="preserve">Pose d'un polyane type 200 en fond de fouille </t>
  </si>
  <si>
    <t>TV20</t>
  </si>
  <si>
    <t>LOCCOMPACT</t>
  </si>
  <si>
    <t>Location d'un compacteur à bras</t>
  </si>
  <si>
    <t>CABLETER</t>
  </si>
  <si>
    <t xml:space="preserve">Pose d'un câble terre en fond de fouille </t>
  </si>
  <si>
    <t>CABLETERRE</t>
  </si>
  <si>
    <t xml:space="preserve">Câble terre cuivre </t>
  </si>
  <si>
    <t>Tout venant ep 20cm</t>
  </si>
  <si>
    <t>BETDALLA</t>
  </si>
  <si>
    <t>COFFRDALL</t>
  </si>
  <si>
    <t>HADALL</t>
  </si>
  <si>
    <t>TSDALL</t>
  </si>
  <si>
    <t>Acier TS pour dallage</t>
  </si>
  <si>
    <t>Acier HA pour dallage</t>
  </si>
  <si>
    <t>Coffrage pour dallage</t>
  </si>
  <si>
    <t>Béton pour dallage XC2</t>
  </si>
  <si>
    <t>Béton pour bèche XC2</t>
  </si>
  <si>
    <t>BETBECHE</t>
  </si>
  <si>
    <t>COFFRBECHE</t>
  </si>
  <si>
    <t>HABECHE</t>
  </si>
  <si>
    <t>TSBECHE</t>
  </si>
  <si>
    <t xml:space="preserve">Surfacage à l'hélicoptère </t>
  </si>
  <si>
    <t>LOCHELI</t>
  </si>
  <si>
    <t xml:space="preserve">Location hélicoptère </t>
  </si>
  <si>
    <t xml:space="preserve">Location tronçoneuse </t>
  </si>
  <si>
    <t>PVDALLPENTE</t>
  </si>
  <si>
    <t xml:space="preserve">PV pour dallage en pente </t>
  </si>
  <si>
    <t>IMPERMUR</t>
  </si>
  <si>
    <t xml:space="preserve">Imperméabilisation des murs enterrés </t>
  </si>
  <si>
    <t>Protection des murs enterrés par enkadrain</t>
  </si>
  <si>
    <t>PRFILENKA</t>
  </si>
  <si>
    <t>Profil alu en tête d'enkadrain</t>
  </si>
  <si>
    <t>Cunette pour drain</t>
  </si>
  <si>
    <t>DRAIN</t>
  </si>
  <si>
    <t>PVCDIAM160</t>
  </si>
  <si>
    <t>Tube PVC Diamètre 160mm</t>
  </si>
  <si>
    <t>FILMBIDIM</t>
  </si>
  <si>
    <t xml:space="preserve">Bidim type SF27 </t>
  </si>
  <si>
    <t>Drain PVC Diam 160 y/c poche drainante</t>
  </si>
  <si>
    <t>BETLONGR</t>
  </si>
  <si>
    <t>Béton pour longrines XC2</t>
  </si>
  <si>
    <t>Coffrage pour longrines</t>
  </si>
  <si>
    <t>Acier HA pour longrines</t>
  </si>
  <si>
    <t>Acier TS pour longrines</t>
  </si>
  <si>
    <t>BETVOILEXT</t>
  </si>
  <si>
    <t>COFFREVOILEXT</t>
  </si>
  <si>
    <t>HAVOILEXT</t>
  </si>
  <si>
    <t>TSVOILEXT</t>
  </si>
  <si>
    <t>Acier TS pour voiles extérieurs</t>
  </si>
  <si>
    <t>Acier HA pour voiles extérieurs</t>
  </si>
  <si>
    <t>Coffrage pour voiles extérieurs</t>
  </si>
  <si>
    <t>Béton pour voiles extérieurs XC2</t>
  </si>
  <si>
    <t>DIVVOIL</t>
  </si>
  <si>
    <t xml:space="preserve">Divers petits matériaux voiles </t>
  </si>
  <si>
    <t xml:space="preserve">Coffrage spécifique </t>
  </si>
  <si>
    <t>LOCBANCHE</t>
  </si>
  <si>
    <t xml:space="preserve">Location banches </t>
  </si>
  <si>
    <t>BETVOILINT</t>
  </si>
  <si>
    <t>COFFRVOILINT</t>
  </si>
  <si>
    <t>HAVOILINT</t>
  </si>
  <si>
    <t>TSVOILINT</t>
  </si>
  <si>
    <t>Acier TS pour voiles intérieurs</t>
  </si>
  <si>
    <t>Acier HA pour voiles intérieurs</t>
  </si>
  <si>
    <t>Coffrage pour  voiles intérieurs</t>
  </si>
  <si>
    <t>Béton pour  voiles intérieurs XC2</t>
  </si>
  <si>
    <t>JD2CM</t>
  </si>
  <si>
    <t>Alvaplaque pour JD 2cm</t>
  </si>
  <si>
    <t>JD4CM</t>
  </si>
  <si>
    <t>Alvaplaque pour JD 4cm</t>
  </si>
  <si>
    <t>RAGREAGE</t>
  </si>
  <si>
    <t>REFOPLAN</t>
  </si>
  <si>
    <t>Refoplan Mur</t>
  </si>
  <si>
    <t>BBMP20</t>
  </si>
  <si>
    <t>Bloc pleins de 20cm</t>
  </si>
  <si>
    <t>BBMP30</t>
  </si>
  <si>
    <t>Bloc pleins de 30cm</t>
  </si>
  <si>
    <t>Bloc creux de 10cm</t>
  </si>
  <si>
    <t>BBMC10</t>
  </si>
  <si>
    <t>BBMC100</t>
  </si>
  <si>
    <t>BBMC150</t>
  </si>
  <si>
    <t>BBMC200</t>
  </si>
  <si>
    <t>BBMCCHV20</t>
  </si>
  <si>
    <t>BBMCCHH20</t>
  </si>
  <si>
    <t>BBMP200</t>
  </si>
  <si>
    <t>BBMP300</t>
  </si>
  <si>
    <t>BBMC15</t>
  </si>
  <si>
    <t>Bloc creux de 15cm</t>
  </si>
  <si>
    <t>BBMC20</t>
  </si>
  <si>
    <t>Bloc creux de 20cm</t>
  </si>
  <si>
    <t>BBMCCH20</t>
  </si>
  <si>
    <t>Bloc creux de 20cm chainage vertical</t>
  </si>
  <si>
    <t>Bloc creux de 20cm linteau U</t>
  </si>
  <si>
    <t>BBMCLINT20</t>
  </si>
  <si>
    <t>Bloc creux linteau 500x200x200mm</t>
  </si>
  <si>
    <t>BETPOT</t>
  </si>
  <si>
    <t>COFFRPOT</t>
  </si>
  <si>
    <t>HAPOT</t>
  </si>
  <si>
    <t>TSPOT</t>
  </si>
  <si>
    <t>Acier TS pour poteaux</t>
  </si>
  <si>
    <t>Acier HA pour poteaux</t>
  </si>
  <si>
    <t>Coffrage pour poteaux</t>
  </si>
  <si>
    <t>Béton pour poteaux</t>
  </si>
  <si>
    <t xml:space="preserve">Ragréages des paroies </t>
  </si>
  <si>
    <t>BETPOUTRE</t>
  </si>
  <si>
    <t>COFFRPOUTRE</t>
  </si>
  <si>
    <t>HAPOUTRE</t>
  </si>
  <si>
    <t>TSPOUTRE</t>
  </si>
  <si>
    <t>Acier TS pour poutres</t>
  </si>
  <si>
    <t>Acier HA pour poutres</t>
  </si>
  <si>
    <t>Coffrage pour poutres</t>
  </si>
  <si>
    <t>Béton pour poutres</t>
  </si>
  <si>
    <t>ARASE</t>
  </si>
  <si>
    <t>Arase de mur ep20cm</t>
  </si>
  <si>
    <t>CIMFONDU</t>
  </si>
  <si>
    <t>ARASEHYDRO</t>
  </si>
  <si>
    <t>BETCHAIN</t>
  </si>
  <si>
    <t>PLANELLE20</t>
  </si>
  <si>
    <t>Planelle de rive 50x200</t>
  </si>
  <si>
    <t>BBMCPLAN</t>
  </si>
  <si>
    <t xml:space="preserve">Chaînage 20x20 avec planelle rive </t>
  </si>
  <si>
    <t>COFFRCHAIN</t>
  </si>
  <si>
    <t>HACHAIN</t>
  </si>
  <si>
    <t>Béton pour chaînage</t>
  </si>
  <si>
    <t>Coffrage pour chaînage</t>
  </si>
  <si>
    <t>Acier HA pour chaînage</t>
  </si>
  <si>
    <t>BETPVOUV</t>
  </si>
  <si>
    <t>PV pour mannequins</t>
  </si>
  <si>
    <t>LOCMANNEQUIN</t>
  </si>
  <si>
    <t>Location mannequins</t>
  </si>
  <si>
    <t>APPUIBETGRIS</t>
  </si>
  <si>
    <t>Appuis préfabriqué en béton gris</t>
  </si>
  <si>
    <t>APPUIGRIS35</t>
  </si>
  <si>
    <t>APPUIBETPIERRE</t>
  </si>
  <si>
    <t>Appuis préfabriqué en béton ton pierre</t>
  </si>
  <si>
    <t>APPUIBETBLANC</t>
  </si>
  <si>
    <t>BATIPRIX</t>
  </si>
  <si>
    <t>BUFFAGNI</t>
  </si>
  <si>
    <t>Qts</t>
  </si>
  <si>
    <t xml:space="preserve">Qts avec perte </t>
  </si>
  <si>
    <t>PU</t>
  </si>
  <si>
    <t>ST Ressource</t>
  </si>
  <si>
    <t xml:space="preserve">Commentaires </t>
  </si>
  <si>
    <t>FONDATIONS SUPERFICIELLES</t>
  </si>
  <si>
    <t>Total fondations superficielles</t>
  </si>
  <si>
    <t>LOT N°1: GROS ŒUVRE</t>
  </si>
  <si>
    <t>ELEVATIONS</t>
  </si>
  <si>
    <t xml:space="preserve">Total élévations </t>
  </si>
  <si>
    <t>Montant Total HT</t>
  </si>
  <si>
    <t>TVA</t>
  </si>
  <si>
    <t>Montant Total TTC</t>
  </si>
  <si>
    <t xml:space="preserve">P.T ht </t>
  </si>
  <si>
    <t xml:space="preserve">P.U. ht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</si>
</sst>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7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44" fontId="1" fillId="0" borderId="0" xfId="1"/>
    <xf numFmtId="0" fontId="0" fillId="0" borderId="12" xfId="0" applyBorder="1" applyAlignment="1">
      <alignment horizont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13" xfId="0" applyBorder="1"/>
    <xf numFmtId="0" fontId="3" fillId="2" borderId="7" xfId="0" applyFont="1" applyFill="1" applyBorder="1" applyAlignment="1">
      <alignment horizontal="center" vertical="center"/>
    </xf>
    <xf numFmtId="0" fontId="0" fillId="0" borderId="14" xfId="0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left"/>
    </xf>
    <xf numFmtId="2" fontId="3" fillId="2" borderId="1" xfId="1" applyNumberFormat="1" applyFont="1" applyFill="1" applyBorder="1" applyAlignment="1">
      <alignment horizontal="center" vertical="center" wrapText="1"/>
    </xf>
    <xf numFmtId="2" fontId="1" fillId="0" borderId="13" xfId="1" applyNumberFormat="1" applyBorder="1" applyAlignment="1">
      <alignment horizontal="center"/>
    </xf>
    <xf numFmtId="164" fontId="3" fillId="2" borderId="1" xfId="1" applyNumberFormat="1" applyFont="1" applyFill="1" applyBorder="1" applyAlignment="1">
      <alignment horizontal="center" vertical="center" wrapText="1"/>
    </xf>
    <xf numFmtId="164" fontId="1" fillId="0" borderId="13" xfId="1" applyNumberFormat="1" applyBorder="1"/>
    <xf numFmtId="164" fontId="1" fillId="0" borderId="0" xfId="1" applyNumberFormat="1" applyAlignment="1">
      <alignment horizontal="center"/>
    </xf>
    <xf numFmtId="0" fontId="0" fillId="0" borderId="17" xfId="0" applyBorder="1"/>
    <xf numFmtId="0" fontId="0" fillId="0" borderId="12" xfId="0" applyBorder="1"/>
    <xf numFmtId="2" fontId="0" fillId="0" borderId="3" xfId="0" applyNumberFormat="1" applyBorder="1"/>
    <xf numFmtId="2" fontId="0" fillId="0" borderId="2" xfId="0" applyNumberFormat="1" applyBorder="1"/>
    <xf numFmtId="2" fontId="0" fillId="0" borderId="0" xfId="0" applyNumberFormat="1"/>
    <xf numFmtId="44" fontId="1" fillId="0" borderId="13" xfId="1" applyBorder="1"/>
    <xf numFmtId="0" fontId="2" fillId="3" borderId="1" xfId="0" applyFont="1" applyFill="1" applyBorder="1"/>
    <xf numFmtId="0" fontId="2" fillId="0" borderId="13" xfId="0" applyFont="1" applyBorder="1"/>
    <xf numFmtId="0" fontId="2" fillId="3" borderId="1" xfId="0" applyFont="1" applyFill="1" applyBorder="1" applyAlignment="1">
      <alignment horizontal="center"/>
    </xf>
    <xf numFmtId="44" fontId="2" fillId="3" borderId="1" xfId="1" applyFont="1" applyFill="1" applyBorder="1"/>
    <xf numFmtId="0" fontId="2" fillId="3" borderId="8" xfId="0" applyFont="1" applyFill="1" applyBorder="1"/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2" fontId="0" fillId="0" borderId="10" xfId="0" applyNumberFormat="1" applyBorder="1" applyAlignment="1">
      <alignment horizontal="center"/>
    </xf>
    <xf numFmtId="2" fontId="0" fillId="0" borderId="17" xfId="0" applyNumberFormat="1" applyBorder="1"/>
    <xf numFmtId="2" fontId="0" fillId="0" borderId="15" xfId="0" applyNumberFormat="1" applyBorder="1" applyAlignment="1">
      <alignment horizontal="center"/>
    </xf>
    <xf numFmtId="2" fontId="0" fillId="0" borderId="13" xfId="0" applyNumberFormat="1" applyBorder="1"/>
    <xf numFmtId="2" fontId="0" fillId="0" borderId="16" xfId="0" applyNumberFormat="1" applyBorder="1" applyAlignment="1">
      <alignment horizontal="center"/>
    </xf>
    <xf numFmtId="2" fontId="0" fillId="0" borderId="12" xfId="0" applyNumberFormat="1" applyBorder="1"/>
    <xf numFmtId="2" fontId="0" fillId="0" borderId="12" xfId="0" applyNumberFormat="1" applyBorder="1" applyAlignment="1">
      <alignment horizontal="center"/>
    </xf>
    <xf numFmtId="0" fontId="3" fillId="4" borderId="17" xfId="0" applyFont="1" applyFill="1" applyBorder="1" applyAlignment="1">
      <alignment horizontal="center" vertical="center" wrapText="1"/>
    </xf>
    <xf numFmtId="0" fontId="3" fillId="4" borderId="17" xfId="0" applyFont="1" applyFill="1" applyBorder="1" applyAlignment="1">
      <alignment horizontal="center" vertical="center"/>
    </xf>
    <xf numFmtId="44" fontId="3" fillId="4" borderId="17" xfId="1" applyFont="1" applyFill="1" applyBorder="1" applyAlignment="1">
      <alignment horizontal="center" vertical="center"/>
    </xf>
    <xf numFmtId="44" fontId="3" fillId="4" borderId="17" xfId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" xfId="0" applyBorder="1"/>
    <xf numFmtId="0" fontId="0" fillId="0" borderId="13" xfId="0" applyBorder="1" applyAlignment="1">
      <alignment horizontal="center" vertical="center"/>
    </xf>
    <xf numFmtId="0" fontId="3" fillId="0" borderId="13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13" xfId="0" applyFont="1" applyBorder="1" applyAlignment="1">
      <alignment horizontal="right"/>
    </xf>
    <xf numFmtId="0" fontId="2" fillId="0" borderId="12" xfId="0" applyFont="1" applyBorder="1" applyAlignment="1">
      <alignment horizontal="right"/>
    </xf>
    <xf numFmtId="164" fontId="1" fillId="0" borderId="13" xfId="1" applyNumberFormat="1" applyBorder="1" applyAlignment="1">
      <alignment horizontal="center" vertical="center"/>
    </xf>
    <xf numFmtId="164" fontId="1" fillId="0" borderId="13" xfId="1" applyNumberFormat="1" applyBorder="1" applyAlignment="1">
      <alignment horizontal="center"/>
    </xf>
    <xf numFmtId="164" fontId="1" fillId="0" borderId="12" xfId="1" applyNumberFormat="1" applyBorder="1" applyAlignment="1">
      <alignment horizontal="center"/>
    </xf>
    <xf numFmtId="44" fontId="1" fillId="0" borderId="13" xfId="1" applyBorder="1" applyAlignment="1">
      <alignment horizontal="center" vertical="center"/>
    </xf>
    <xf numFmtId="44" fontId="2" fillId="0" borderId="13" xfId="1" applyFont="1" applyBorder="1"/>
    <xf numFmtId="44" fontId="2" fillId="0" borderId="12" xfId="1" applyFont="1" applyBorder="1"/>
    <xf numFmtId="0" fontId="3" fillId="0" borderId="1" xfId="0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44" fontId="3" fillId="0" borderId="1" xfId="1" applyFont="1" applyBorder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0" fillId="0" borderId="0" xfId="0" applyAlignment="1">
      <alignment horizontal="right" vertical="center" wrapText="1" indent="1"/>
    </xf>
    <xf numFmtId="0" fontId="4" fillId="0" borderId="20" xfId="0" applyFont="1" applyBorder="1" applyAlignment="1">
      <alignment horizontal="right" vertical="center" indent="1"/>
    </xf>
    <xf numFmtId="44" fontId="4" fillId="0" borderId="1" xfId="1" applyNumberFormat="1" applyFont="1" applyBorder="1" applyAlignment="1">
      <alignment horizontal="right" vertical="center" indent="1"/>
    </xf>
    <xf numFmtId="44" fontId="1" fillId="0" borderId="0" xfId="1" applyAlignment="1">
      <alignment horizontal="right" vertical="center" indent="1"/>
    </xf>
    <xf numFmtId="2" fontId="0" fillId="0" borderId="0" xfId="0" applyNumberFormat="1" applyAlignment="1">
      <alignment horizontal="right" vertical="center" indent="1"/>
    </xf>
    <xf numFmtId="164" fontId="1" fillId="0" borderId="0" xfId="1" applyNumberFormat="1" applyAlignment="1">
      <alignment horizontal="right" vertical="center" indent="1"/>
    </xf>
    <xf numFmtId="44" fontId="1" fillId="0" borderId="13" xfId="1" applyBorder="1" applyAlignment="1">
      <alignment horizontal="right" vertical="center" indent="1"/>
    </xf>
    <xf numFmtId="9" fontId="5" fillId="0" borderId="20" xfId="2" applyFont="1" applyBorder="1" applyAlignment="1">
      <alignment horizontal="right" vertical="center" indent="1"/>
    </xf>
    <xf numFmtId="44" fontId="3" fillId="0" borderId="13" xfId="1" applyFont="1" applyBorder="1" applyAlignment="1">
      <alignment horizontal="right" vertical="center" indent="1"/>
    </xf>
    <xf numFmtId="44" fontId="4" fillId="3" borderId="1" xfId="1" applyNumberFormat="1" applyFont="1" applyFill="1" applyBorder="1" applyAlignment="1">
      <alignment horizontal="right" vertical="center" indent="1"/>
    </xf>
    <xf numFmtId="44" fontId="0" fillId="0" borderId="3" xfId="0" applyNumberFormat="1" applyBorder="1" applyAlignment="1">
      <alignment horizontal="center" vertical="center"/>
    </xf>
    <xf numFmtId="44" fontId="0" fillId="0" borderId="2" xfId="0" applyNumberForma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1"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Medium7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1"/>
  <sheetViews>
    <sheetView zoomScaleNormal="100" workbookViewId="0">
      <selection activeCell="C13" sqref="C13"/>
    </sheetView>
  </sheetViews>
  <sheetFormatPr baseColWidth="10" defaultColWidth="9" defaultRowHeight="15.75" x14ac:dyDescent="0.25"/>
  <cols>
    <col min="1" max="1" width="15" style="52" customWidth="1"/>
    <col min="2" max="2" width="2.125" customWidth="1"/>
    <col min="3" max="3" width="17.625" style="52" customWidth="1"/>
    <col min="4" max="4" width="2.625" customWidth="1"/>
    <col min="5" max="5" width="17.375" style="52" customWidth="1"/>
    <col min="6" max="6" width="2.125" customWidth="1"/>
    <col min="7" max="7" width="24.5" style="52" customWidth="1"/>
    <col min="8" max="254" width="11" customWidth="1"/>
  </cols>
  <sheetData>
    <row r="1" spans="1:7" s="9" customFormat="1" ht="34.5" customHeight="1" thickBot="1" x14ac:dyDescent="0.3">
      <c r="A1" s="53" t="s">
        <v>0</v>
      </c>
      <c r="C1" s="53" t="s">
        <v>2</v>
      </c>
      <c r="E1" s="53" t="s">
        <v>3</v>
      </c>
      <c r="G1" s="53" t="s">
        <v>4</v>
      </c>
    </row>
    <row r="2" spans="1:7" x14ac:dyDescent="0.25">
      <c r="A2" s="51" t="s">
        <v>5</v>
      </c>
      <c r="C2" s="51" t="s">
        <v>7</v>
      </c>
      <c r="E2" s="51" t="s">
        <v>526</v>
      </c>
      <c r="G2" s="51" t="s">
        <v>334</v>
      </c>
    </row>
    <row r="3" spans="1:7" x14ac:dyDescent="0.25">
      <c r="A3" s="52" t="s">
        <v>9</v>
      </c>
      <c r="C3" s="52" t="s">
        <v>10</v>
      </c>
      <c r="E3" s="52" t="s">
        <v>527</v>
      </c>
      <c r="G3" s="52" t="s">
        <v>285</v>
      </c>
    </row>
    <row r="4" spans="1:7" x14ac:dyDescent="0.25">
      <c r="A4" s="52" t="s">
        <v>12</v>
      </c>
      <c r="C4" s="52" t="s">
        <v>13</v>
      </c>
      <c r="G4" s="52" t="s">
        <v>274</v>
      </c>
    </row>
    <row r="5" spans="1:7" x14ac:dyDescent="0.25">
      <c r="A5" s="52" t="s">
        <v>15</v>
      </c>
      <c r="C5" s="52" t="s">
        <v>16</v>
      </c>
      <c r="G5" s="52" t="s">
        <v>8</v>
      </c>
    </row>
    <row r="6" spans="1:7" x14ac:dyDescent="0.25">
      <c r="A6" s="52" t="s">
        <v>17</v>
      </c>
      <c r="G6" s="52" t="s">
        <v>11</v>
      </c>
    </row>
    <row r="7" spans="1:7" x14ac:dyDescent="0.25">
      <c r="G7" s="52" t="s">
        <v>74</v>
      </c>
    </row>
    <row r="8" spans="1:7" x14ac:dyDescent="0.25">
      <c r="G8" s="52" t="s">
        <v>85</v>
      </c>
    </row>
    <row r="9" spans="1:7" x14ac:dyDescent="0.25">
      <c r="G9" s="52" t="s">
        <v>113</v>
      </c>
    </row>
    <row r="10" spans="1:7" x14ac:dyDescent="0.25">
      <c r="G10" s="52" t="s">
        <v>14</v>
      </c>
    </row>
    <row r="11" spans="1:7" x14ac:dyDescent="0.25">
      <c r="G11" s="52" t="s">
        <v>26</v>
      </c>
    </row>
    <row r="12" spans="1:7" x14ac:dyDescent="0.25">
      <c r="G12" s="52" t="s">
        <v>23</v>
      </c>
    </row>
    <row r="13" spans="1:7" x14ac:dyDescent="0.25">
      <c r="G13" s="52" t="s">
        <v>181</v>
      </c>
    </row>
    <row r="14" spans="1:7" x14ac:dyDescent="0.25">
      <c r="G14" s="52" t="s">
        <v>190</v>
      </c>
    </row>
    <row r="15" spans="1:7" x14ac:dyDescent="0.25">
      <c r="G15" s="52" t="s">
        <v>207</v>
      </c>
    </row>
    <row r="16" spans="1:7" x14ac:dyDescent="0.25">
      <c r="G16" s="52" t="s">
        <v>19</v>
      </c>
    </row>
    <row r="17" spans="7:7" x14ac:dyDescent="0.25">
      <c r="G17" s="52" t="s">
        <v>221</v>
      </c>
    </row>
    <row r="18" spans="7:7" x14ac:dyDescent="0.25">
      <c r="G18" s="52" t="s">
        <v>445</v>
      </c>
    </row>
    <row r="19" spans="7:7" x14ac:dyDescent="0.25">
      <c r="G19" s="52" t="s">
        <v>254</v>
      </c>
    </row>
    <row r="20" spans="7:7" x14ac:dyDescent="0.25">
      <c r="G20" s="52" t="s">
        <v>269</v>
      </c>
    </row>
    <row r="21" spans="7:7" x14ac:dyDescent="0.25">
      <c r="G21" s="52" t="s">
        <v>16</v>
      </c>
    </row>
  </sheetData>
  <pageMargins left="0.78740157499999996" right="0.78740157499999996" top="0.984251969" bottom="0.984251969" header="0.3" footer="0.3"/>
  <pageSetup paperSize="9" orientation="portrait" horizontalDpi="0" verticalDpi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O11"/>
  <sheetViews>
    <sheetView workbookViewId="0">
      <selection activeCell="K16" sqref="K16"/>
    </sheetView>
  </sheetViews>
  <sheetFormatPr baseColWidth="10" defaultColWidth="9" defaultRowHeight="15.75" x14ac:dyDescent="0.25"/>
  <cols>
    <col min="1" max="1" width="2.125" customWidth="1"/>
    <col min="2" max="2" width="20.5" bestFit="1" customWidth="1"/>
    <col min="3" max="3" width="11.625" style="1" customWidth="1"/>
    <col min="4" max="4" width="1.625" customWidth="1"/>
    <col min="5" max="5" width="20.5" bestFit="1" customWidth="1"/>
    <col min="6" max="6" width="10.875" style="1" customWidth="1"/>
    <col min="7" max="7" width="2" customWidth="1"/>
    <col min="8" max="8" width="20.5" bestFit="1" customWidth="1"/>
    <col min="9" max="9" width="10.875" style="1" customWidth="1"/>
    <col min="10" max="10" width="2" customWidth="1"/>
    <col min="11" max="11" width="21.75" customWidth="1"/>
    <col min="12" max="12" width="12.5" style="1" customWidth="1"/>
    <col min="13" max="13" width="1.5" customWidth="1"/>
    <col min="14" max="14" width="21.75" customWidth="1"/>
    <col min="15" max="15" width="11.875" style="1" customWidth="1"/>
    <col min="16" max="254" width="11" customWidth="1"/>
  </cols>
  <sheetData>
    <row r="1" spans="2:15" s="21" customFormat="1" ht="27" customHeight="1" thickBot="1" x14ac:dyDescent="0.3">
      <c r="B1" s="54" t="s">
        <v>297</v>
      </c>
      <c r="C1" s="55"/>
      <c r="E1" s="54" t="s">
        <v>298</v>
      </c>
      <c r="F1" s="55"/>
      <c r="H1" s="54" t="s">
        <v>299</v>
      </c>
      <c r="I1" s="55"/>
      <c r="K1" s="54" t="s">
        <v>300</v>
      </c>
      <c r="L1" s="55"/>
      <c r="N1" s="54" t="s">
        <v>301</v>
      </c>
      <c r="O1" s="55"/>
    </row>
    <row r="2" spans="2:15" ht="16.5" thickBot="1" x14ac:dyDescent="0.3"/>
    <row r="3" spans="2:15" ht="16.5" thickBot="1" x14ac:dyDescent="0.3">
      <c r="B3" s="33" t="s">
        <v>302</v>
      </c>
      <c r="C3" s="10" t="s">
        <v>303</v>
      </c>
      <c r="E3" s="33" t="s">
        <v>302</v>
      </c>
      <c r="F3" s="10" t="s">
        <v>303</v>
      </c>
      <c r="H3" s="33" t="s">
        <v>302</v>
      </c>
      <c r="I3" s="10" t="s">
        <v>303</v>
      </c>
      <c r="K3" s="33" t="s">
        <v>302</v>
      </c>
      <c r="L3" s="10" t="s">
        <v>303</v>
      </c>
      <c r="N3" s="33" t="s">
        <v>302</v>
      </c>
      <c r="O3" s="10" t="s">
        <v>303</v>
      </c>
    </row>
    <row r="4" spans="2:15" x14ac:dyDescent="0.25">
      <c r="B4" s="33" t="s">
        <v>304</v>
      </c>
      <c r="C4" s="56">
        <v>1.1000000000000001</v>
      </c>
      <c r="D4" s="37"/>
      <c r="E4" s="57" t="s">
        <v>304</v>
      </c>
      <c r="F4" s="56">
        <v>1.1000000000000001</v>
      </c>
      <c r="G4" s="37"/>
      <c r="H4" s="57" t="s">
        <v>304</v>
      </c>
      <c r="I4" s="56">
        <v>1</v>
      </c>
      <c r="J4" s="37"/>
      <c r="K4" s="57" t="s">
        <v>304</v>
      </c>
      <c r="L4" s="56">
        <v>1.1000000000000001</v>
      </c>
      <c r="M4" s="37"/>
      <c r="N4" s="57" t="s">
        <v>304</v>
      </c>
      <c r="O4" s="56">
        <v>1</v>
      </c>
    </row>
    <row r="5" spans="2:15" x14ac:dyDescent="0.25">
      <c r="B5" s="23" t="s">
        <v>305</v>
      </c>
      <c r="C5" s="58">
        <v>1.05</v>
      </c>
      <c r="D5" s="37"/>
      <c r="E5" s="59" t="s">
        <v>305</v>
      </c>
      <c r="F5" s="58">
        <v>1.05</v>
      </c>
      <c r="G5" s="37"/>
      <c r="H5" s="59" t="s">
        <v>305</v>
      </c>
      <c r="I5" s="58">
        <v>1</v>
      </c>
      <c r="J5" s="37"/>
      <c r="K5" s="59" t="s">
        <v>305</v>
      </c>
      <c r="L5" s="58">
        <v>1.05</v>
      </c>
      <c r="M5" s="37"/>
      <c r="N5" s="59" t="s">
        <v>305</v>
      </c>
      <c r="O5" s="58">
        <v>1</v>
      </c>
    </row>
    <row r="6" spans="2:15" x14ac:dyDescent="0.25">
      <c r="B6" s="23" t="s">
        <v>306</v>
      </c>
      <c r="C6" s="58">
        <v>1.05</v>
      </c>
      <c r="D6" s="37"/>
      <c r="E6" s="59" t="s">
        <v>306</v>
      </c>
      <c r="F6" s="58">
        <v>1</v>
      </c>
      <c r="G6" s="37"/>
      <c r="H6" s="59" t="s">
        <v>306</v>
      </c>
      <c r="I6" s="58">
        <v>1</v>
      </c>
      <c r="J6" s="37"/>
      <c r="K6" s="59" t="s">
        <v>306</v>
      </c>
      <c r="L6" s="58">
        <v>1.05</v>
      </c>
      <c r="M6" s="37"/>
      <c r="N6" s="59" t="s">
        <v>306</v>
      </c>
      <c r="O6" s="58">
        <v>1</v>
      </c>
    </row>
    <row r="7" spans="2:15" x14ac:dyDescent="0.25">
      <c r="B7" s="23" t="s">
        <v>307</v>
      </c>
      <c r="C7" s="58">
        <v>1.02</v>
      </c>
      <c r="D7" s="37"/>
      <c r="E7" s="59" t="s">
        <v>307</v>
      </c>
      <c r="F7" s="58">
        <v>1.02</v>
      </c>
      <c r="G7" s="37"/>
      <c r="H7" s="59" t="s">
        <v>307</v>
      </c>
      <c r="I7" s="58">
        <v>1</v>
      </c>
      <c r="J7" s="37"/>
      <c r="K7" s="59" t="s">
        <v>307</v>
      </c>
      <c r="L7" s="58">
        <v>1.02</v>
      </c>
      <c r="M7" s="37"/>
      <c r="N7" s="59" t="s">
        <v>307</v>
      </c>
      <c r="O7" s="58">
        <v>1</v>
      </c>
    </row>
    <row r="8" spans="2:15" x14ac:dyDescent="0.25">
      <c r="B8" s="23" t="s">
        <v>16</v>
      </c>
      <c r="C8" s="58">
        <v>1</v>
      </c>
      <c r="D8" s="37"/>
      <c r="E8" s="59" t="s">
        <v>16</v>
      </c>
      <c r="F8" s="58">
        <v>1</v>
      </c>
      <c r="G8" s="37"/>
      <c r="H8" s="59" t="s">
        <v>16</v>
      </c>
      <c r="I8" s="58">
        <v>1</v>
      </c>
      <c r="J8" s="37"/>
      <c r="K8" s="59" t="s">
        <v>16</v>
      </c>
      <c r="L8" s="58">
        <v>1</v>
      </c>
      <c r="M8" s="37"/>
      <c r="N8" s="59" t="s">
        <v>16</v>
      </c>
      <c r="O8" s="58">
        <v>1</v>
      </c>
    </row>
    <row r="9" spans="2:15" x14ac:dyDescent="0.25">
      <c r="B9" s="23" t="s">
        <v>308</v>
      </c>
      <c r="C9" s="58">
        <v>1.1499999999999999</v>
      </c>
      <c r="D9" s="37"/>
      <c r="E9" s="59" t="s">
        <v>308</v>
      </c>
      <c r="F9" s="58">
        <v>1.1499999999999999</v>
      </c>
      <c r="G9" s="37"/>
      <c r="H9" s="59" t="s">
        <v>308</v>
      </c>
      <c r="I9" s="58">
        <v>1.1499999999999999</v>
      </c>
      <c r="J9" s="37"/>
      <c r="K9" s="59" t="s">
        <v>308</v>
      </c>
      <c r="L9" s="58">
        <v>1.1499999999999999</v>
      </c>
      <c r="M9" s="37"/>
      <c r="N9" s="59" t="s">
        <v>308</v>
      </c>
      <c r="O9" s="58">
        <v>1</v>
      </c>
    </row>
    <row r="10" spans="2:15" ht="16.5" thickBot="1" x14ac:dyDescent="0.3">
      <c r="B10" s="34" t="s">
        <v>309</v>
      </c>
      <c r="C10" s="60">
        <v>1.1000000000000001</v>
      </c>
      <c r="D10" s="37"/>
      <c r="E10" s="61" t="s">
        <v>309</v>
      </c>
      <c r="F10" s="60">
        <v>1.1000000000000001</v>
      </c>
      <c r="G10" s="37"/>
      <c r="H10" s="61" t="s">
        <v>309</v>
      </c>
      <c r="I10" s="60">
        <v>1</v>
      </c>
      <c r="J10" s="37"/>
      <c r="K10" s="61" t="s">
        <v>309</v>
      </c>
      <c r="L10" s="60">
        <v>1.1000000000000001</v>
      </c>
      <c r="M10" s="37"/>
      <c r="N10" s="61" t="s">
        <v>309</v>
      </c>
      <c r="O10" s="60">
        <v>1</v>
      </c>
    </row>
    <row r="11" spans="2:15" ht="16.5" thickBot="1" x14ac:dyDescent="0.3">
      <c r="C11" s="62">
        <f>(C4*C5*C6*C7*C8*C9*C10)</f>
        <v>1.5648113250000002</v>
      </c>
      <c r="D11" s="37"/>
      <c r="E11" s="37"/>
      <c r="F11" s="62">
        <f>(F4*F5*F6*F7*F8*F9*F10)</f>
        <v>1.4902965000000006</v>
      </c>
      <c r="G11" s="37"/>
      <c r="H11" s="37"/>
      <c r="I11" s="62">
        <f>(I4*I5*I6*I7*I8*I9*I10)</f>
        <v>1.1499999999999999</v>
      </c>
      <c r="J11" s="37"/>
      <c r="K11" s="37"/>
      <c r="L11" s="62">
        <f>(L4*L5*L6*L7*L8*L9*L10)</f>
        <v>1.5648113250000002</v>
      </c>
      <c r="M11" s="37"/>
      <c r="N11" s="37"/>
      <c r="O11" s="62">
        <f>(O4*O5*O6*O7*O8*O9*O10)</f>
        <v>1</v>
      </c>
    </row>
  </sheetData>
  <mergeCells count="5">
    <mergeCell ref="N1:O1"/>
    <mergeCell ref="B1:C1"/>
    <mergeCell ref="E1:F1"/>
    <mergeCell ref="H1:I1"/>
    <mergeCell ref="K1:L1"/>
  </mergeCells>
  <pageMargins left="0.78740157499999996" right="0.78740157499999996" top="0.984251969" bottom="0.984251969" header="0.3" footer="0.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48"/>
  <sheetViews>
    <sheetView workbookViewId="0">
      <selection activeCell="C2" sqref="C2"/>
    </sheetView>
  </sheetViews>
  <sheetFormatPr baseColWidth="10" defaultColWidth="9" defaultRowHeight="15.75" x14ac:dyDescent="0.25"/>
  <cols>
    <col min="1" max="1" width="28.125" style="25" bestFit="1" customWidth="1"/>
    <col min="2" max="2" width="12.125" style="26" customWidth="1"/>
    <col min="3" max="3" width="15.125" style="26" customWidth="1"/>
    <col min="4" max="4" width="19.75" style="26" bestFit="1" customWidth="1"/>
    <col min="5" max="5" width="64.875" style="23" bestFit="1" customWidth="1"/>
    <col min="6" max="6" width="11" style="26" customWidth="1"/>
    <col min="7" max="7" width="10.75" style="31" customWidth="1"/>
    <col min="8" max="8" width="10.875" style="29" customWidth="1"/>
    <col min="9" max="9" width="20.875" style="23" customWidth="1"/>
    <col min="10" max="10" width="30.125" style="23" customWidth="1"/>
    <col min="11" max="256" width="11" customWidth="1"/>
  </cols>
  <sheetData>
    <row r="1" spans="1:10" s="21" customFormat="1" ht="36.75" customHeight="1" thickBot="1" x14ac:dyDescent="0.3">
      <c r="A1" s="24" t="s">
        <v>27</v>
      </c>
      <c r="B1" s="22" t="s">
        <v>28</v>
      </c>
      <c r="C1" s="22" t="s">
        <v>2</v>
      </c>
      <c r="D1" s="22" t="s">
        <v>4</v>
      </c>
      <c r="E1" s="22" t="s">
        <v>29</v>
      </c>
      <c r="F1" s="22" t="s">
        <v>1</v>
      </c>
      <c r="G1" s="30" t="s">
        <v>30</v>
      </c>
      <c r="H1" s="28" t="s">
        <v>31</v>
      </c>
      <c r="I1" s="22" t="s">
        <v>3</v>
      </c>
      <c r="J1" s="22" t="s">
        <v>32</v>
      </c>
    </row>
    <row r="2" spans="1:10" x14ac:dyDescent="0.25">
      <c r="A2" s="25" t="s">
        <v>33</v>
      </c>
      <c r="B2" s="26" t="s">
        <v>5</v>
      </c>
      <c r="C2" s="26" t="s">
        <v>7</v>
      </c>
      <c r="D2" s="26" t="s">
        <v>8</v>
      </c>
      <c r="E2" s="23" t="s">
        <v>34</v>
      </c>
      <c r="F2" s="26" t="s">
        <v>6</v>
      </c>
      <c r="G2" s="31">
        <v>32</v>
      </c>
      <c r="H2" s="29">
        <v>1</v>
      </c>
    </row>
    <row r="3" spans="1:10" x14ac:dyDescent="0.25">
      <c r="A3" s="25" t="s">
        <v>35</v>
      </c>
      <c r="B3" s="26" t="s">
        <v>5</v>
      </c>
      <c r="C3" s="26" t="s">
        <v>7</v>
      </c>
      <c r="D3" s="26" t="s">
        <v>8</v>
      </c>
      <c r="E3" s="23" t="s">
        <v>36</v>
      </c>
      <c r="F3" s="26" t="s">
        <v>6</v>
      </c>
      <c r="G3" s="31">
        <v>28</v>
      </c>
      <c r="H3" s="29">
        <v>1</v>
      </c>
    </row>
    <row r="4" spans="1:10" x14ac:dyDescent="0.25">
      <c r="A4" s="25" t="s">
        <v>37</v>
      </c>
      <c r="B4" s="26" t="s">
        <v>5</v>
      </c>
      <c r="C4" s="26" t="s">
        <v>13</v>
      </c>
      <c r="D4" s="26" t="s">
        <v>11</v>
      </c>
      <c r="E4" s="23" t="s">
        <v>38</v>
      </c>
      <c r="F4" s="26" t="s">
        <v>21</v>
      </c>
      <c r="G4" s="31">
        <v>95</v>
      </c>
      <c r="H4" s="29">
        <v>1.03</v>
      </c>
    </row>
    <row r="5" spans="1:10" x14ac:dyDescent="0.25">
      <c r="A5" s="25" t="s">
        <v>39</v>
      </c>
      <c r="B5" s="26" t="s">
        <v>5</v>
      </c>
      <c r="C5" s="26" t="s">
        <v>13</v>
      </c>
      <c r="D5" s="26" t="s">
        <v>11</v>
      </c>
      <c r="E5" s="23" t="s">
        <v>40</v>
      </c>
      <c r="F5" s="26" t="s">
        <v>21</v>
      </c>
      <c r="G5" s="31">
        <v>98</v>
      </c>
      <c r="H5" s="29">
        <v>1.03</v>
      </c>
    </row>
    <row r="6" spans="1:10" x14ac:dyDescent="0.25">
      <c r="A6" s="25" t="s">
        <v>41</v>
      </c>
      <c r="B6" s="26" t="s">
        <v>5</v>
      </c>
      <c r="C6" s="26" t="s">
        <v>13</v>
      </c>
      <c r="D6" s="26" t="s">
        <v>11</v>
      </c>
      <c r="E6" s="23" t="s">
        <v>42</v>
      </c>
      <c r="F6" s="26" t="s">
        <v>21</v>
      </c>
      <c r="G6" s="31">
        <v>105</v>
      </c>
      <c r="H6" s="29">
        <v>1.03</v>
      </c>
    </row>
    <row r="7" spans="1:10" x14ac:dyDescent="0.25">
      <c r="A7" s="25" t="s">
        <v>43</v>
      </c>
      <c r="B7" s="26" t="s">
        <v>5</v>
      </c>
      <c r="C7" s="26" t="s">
        <v>13</v>
      </c>
      <c r="D7" s="26" t="s">
        <v>11</v>
      </c>
      <c r="E7" s="23" t="s">
        <v>44</v>
      </c>
      <c r="F7" s="26" t="s">
        <v>21</v>
      </c>
      <c r="G7" s="31">
        <v>148</v>
      </c>
      <c r="H7" s="29">
        <v>1.03</v>
      </c>
    </row>
    <row r="8" spans="1:10" x14ac:dyDescent="0.25">
      <c r="A8" s="25" t="s">
        <v>45</v>
      </c>
      <c r="B8" s="26" t="s">
        <v>5</v>
      </c>
      <c r="C8" s="26" t="s">
        <v>13</v>
      </c>
      <c r="D8" s="26" t="s">
        <v>11</v>
      </c>
      <c r="E8" s="23" t="s">
        <v>46</v>
      </c>
      <c r="F8" s="26" t="s">
        <v>21</v>
      </c>
      <c r="G8" s="31">
        <v>155</v>
      </c>
      <c r="H8" s="29">
        <v>1.03</v>
      </c>
    </row>
    <row r="9" spans="1:10" x14ac:dyDescent="0.25">
      <c r="A9" s="25" t="s">
        <v>47</v>
      </c>
      <c r="B9" s="26" t="s">
        <v>5</v>
      </c>
      <c r="C9" s="26" t="s">
        <v>13</v>
      </c>
      <c r="D9" s="26" t="s">
        <v>11</v>
      </c>
      <c r="E9" s="23" t="s">
        <v>48</v>
      </c>
      <c r="F9" s="26" t="s">
        <v>21</v>
      </c>
      <c r="G9" s="31">
        <v>110</v>
      </c>
      <c r="H9" s="29">
        <v>1.03</v>
      </c>
    </row>
    <row r="10" spans="1:10" x14ac:dyDescent="0.25">
      <c r="A10" s="25" t="s">
        <v>49</v>
      </c>
      <c r="B10" s="26" t="s">
        <v>5</v>
      </c>
      <c r="C10" s="26" t="s">
        <v>13</v>
      </c>
      <c r="D10" s="26" t="s">
        <v>11</v>
      </c>
      <c r="E10" s="23" t="s">
        <v>50</v>
      </c>
      <c r="F10" s="26" t="s">
        <v>21</v>
      </c>
      <c r="G10" s="31">
        <v>120</v>
      </c>
      <c r="H10" s="29">
        <v>1.03</v>
      </c>
    </row>
    <row r="11" spans="1:10" x14ac:dyDescent="0.25">
      <c r="A11" s="25" t="s">
        <v>51</v>
      </c>
      <c r="B11" s="26" t="s">
        <v>5</v>
      </c>
      <c r="C11" s="26" t="s">
        <v>13</v>
      </c>
      <c r="D11" s="26" t="s">
        <v>11</v>
      </c>
      <c r="E11" s="23" t="s">
        <v>52</v>
      </c>
      <c r="F11" s="26" t="s">
        <v>21</v>
      </c>
      <c r="G11" s="31">
        <v>135</v>
      </c>
      <c r="H11" s="29">
        <v>1.03</v>
      </c>
    </row>
    <row r="12" spans="1:10" x14ac:dyDescent="0.25">
      <c r="A12" s="25" t="s">
        <v>53</v>
      </c>
      <c r="B12" s="26" t="s">
        <v>5</v>
      </c>
      <c r="C12" s="26" t="s">
        <v>13</v>
      </c>
      <c r="D12" s="26" t="s">
        <v>11</v>
      </c>
      <c r="E12" s="23" t="s">
        <v>54</v>
      </c>
      <c r="F12" s="26" t="s">
        <v>21</v>
      </c>
      <c r="G12" s="31">
        <v>145</v>
      </c>
      <c r="H12" s="29">
        <v>1.03</v>
      </c>
    </row>
    <row r="13" spans="1:10" x14ac:dyDescent="0.25">
      <c r="A13" s="25" t="s">
        <v>55</v>
      </c>
      <c r="B13" s="26" t="s">
        <v>5</v>
      </c>
      <c r="C13" s="26" t="s">
        <v>13</v>
      </c>
      <c r="D13" s="26" t="s">
        <v>11</v>
      </c>
      <c r="E13" s="23" t="s">
        <v>56</v>
      </c>
      <c r="F13" s="26" t="s">
        <v>21</v>
      </c>
      <c r="G13" s="31">
        <v>122</v>
      </c>
      <c r="H13" s="29">
        <v>1.03</v>
      </c>
    </row>
    <row r="14" spans="1:10" x14ac:dyDescent="0.25">
      <c r="A14" s="25" t="s">
        <v>57</v>
      </c>
      <c r="B14" s="26" t="s">
        <v>5</v>
      </c>
      <c r="C14" s="26" t="s">
        <v>13</v>
      </c>
      <c r="D14" s="26" t="s">
        <v>11</v>
      </c>
      <c r="E14" s="23" t="s">
        <v>58</v>
      </c>
      <c r="F14" s="26" t="s">
        <v>21</v>
      </c>
      <c r="G14" s="31">
        <v>167</v>
      </c>
      <c r="H14" s="29">
        <v>1.03</v>
      </c>
    </row>
    <row r="15" spans="1:10" x14ac:dyDescent="0.25">
      <c r="A15" s="25" t="s">
        <v>59</v>
      </c>
      <c r="B15" s="26" t="s">
        <v>5</v>
      </c>
      <c r="C15" s="26" t="s">
        <v>13</v>
      </c>
      <c r="D15" s="26" t="s">
        <v>11</v>
      </c>
      <c r="E15" s="23" t="s">
        <v>60</v>
      </c>
      <c r="F15" s="26" t="s">
        <v>21</v>
      </c>
      <c r="G15" s="31">
        <v>189</v>
      </c>
      <c r="H15" s="29">
        <v>1.03</v>
      </c>
    </row>
    <row r="16" spans="1:10" x14ac:dyDescent="0.25">
      <c r="A16" s="25" t="s">
        <v>61</v>
      </c>
      <c r="B16" s="26" t="s">
        <v>5</v>
      </c>
      <c r="C16" s="26" t="s">
        <v>13</v>
      </c>
      <c r="D16" s="26" t="s">
        <v>11</v>
      </c>
      <c r="E16" s="23" t="s">
        <v>62</v>
      </c>
      <c r="F16" s="26" t="s">
        <v>21</v>
      </c>
      <c r="G16" s="31">
        <v>240</v>
      </c>
      <c r="H16" s="29">
        <v>1.03</v>
      </c>
    </row>
    <row r="17" spans="1:8" x14ac:dyDescent="0.25">
      <c r="A17" s="25" t="s">
        <v>63</v>
      </c>
      <c r="B17" s="26" t="s">
        <v>5</v>
      </c>
      <c r="C17" s="26" t="s">
        <v>13</v>
      </c>
      <c r="D17" s="26" t="s">
        <v>11</v>
      </c>
      <c r="E17" s="23" t="s">
        <v>64</v>
      </c>
      <c r="F17" s="26" t="s">
        <v>21</v>
      </c>
      <c r="G17" s="31">
        <v>298</v>
      </c>
      <c r="H17" s="29">
        <v>1.03</v>
      </c>
    </row>
    <row r="18" spans="1:8" x14ac:dyDescent="0.25">
      <c r="A18" s="25" t="s">
        <v>65</v>
      </c>
      <c r="B18" s="26" t="s">
        <v>5</v>
      </c>
      <c r="C18" s="26" t="s">
        <v>13</v>
      </c>
      <c r="D18" s="26" t="s">
        <v>11</v>
      </c>
      <c r="E18" s="23" t="s">
        <v>66</v>
      </c>
      <c r="F18" s="26" t="s">
        <v>21</v>
      </c>
      <c r="G18" s="31">
        <v>315</v>
      </c>
      <c r="H18" s="29">
        <v>1.03</v>
      </c>
    </row>
    <row r="19" spans="1:8" x14ac:dyDescent="0.25">
      <c r="A19" s="25" t="s">
        <v>67</v>
      </c>
      <c r="B19" s="26" t="s">
        <v>5</v>
      </c>
      <c r="C19" s="26" t="s">
        <v>13</v>
      </c>
      <c r="D19" s="26" t="s">
        <v>11</v>
      </c>
      <c r="E19" s="23" t="s">
        <v>68</v>
      </c>
      <c r="F19" s="26" t="s">
        <v>21</v>
      </c>
      <c r="G19" s="31">
        <v>348</v>
      </c>
      <c r="H19" s="29">
        <v>1.03</v>
      </c>
    </row>
    <row r="20" spans="1:8" x14ac:dyDescent="0.25">
      <c r="A20" s="25" t="s">
        <v>69</v>
      </c>
      <c r="B20" s="26" t="s">
        <v>5</v>
      </c>
      <c r="C20" s="26" t="s">
        <v>13</v>
      </c>
      <c r="D20" s="26" t="s">
        <v>11</v>
      </c>
      <c r="E20" s="23" t="s">
        <v>70</v>
      </c>
      <c r="F20" s="26" t="s">
        <v>21</v>
      </c>
      <c r="G20" s="31">
        <v>385</v>
      </c>
      <c r="H20" s="29">
        <v>1.03</v>
      </c>
    </row>
    <row r="21" spans="1:8" x14ac:dyDescent="0.25">
      <c r="A21" s="25" t="s">
        <v>71</v>
      </c>
      <c r="B21" s="26" t="s">
        <v>5</v>
      </c>
      <c r="C21" s="26" t="s">
        <v>13</v>
      </c>
      <c r="D21" s="26" t="s">
        <v>11</v>
      </c>
      <c r="E21" s="23" t="s">
        <v>72</v>
      </c>
      <c r="F21" s="26" t="s">
        <v>21</v>
      </c>
      <c r="G21" s="31">
        <v>425</v>
      </c>
      <c r="H21" s="29">
        <v>1.03</v>
      </c>
    </row>
    <row r="22" spans="1:8" x14ac:dyDescent="0.25">
      <c r="A22" s="25" t="s">
        <v>372</v>
      </c>
      <c r="B22" s="26" t="s">
        <v>5</v>
      </c>
      <c r="C22" s="26" t="s">
        <v>13</v>
      </c>
      <c r="D22" s="26" t="s">
        <v>11</v>
      </c>
      <c r="E22" s="23" t="s">
        <v>374</v>
      </c>
      <c r="F22" s="26" t="s">
        <v>21</v>
      </c>
      <c r="G22" s="31">
        <v>25</v>
      </c>
      <c r="H22" s="29">
        <v>1</v>
      </c>
    </row>
    <row r="23" spans="1:8" x14ac:dyDescent="0.25">
      <c r="A23" s="25" t="s">
        <v>73</v>
      </c>
      <c r="B23" s="26" t="s">
        <v>5</v>
      </c>
      <c r="C23" s="26" t="s">
        <v>13</v>
      </c>
      <c r="D23" s="26" t="s">
        <v>74</v>
      </c>
      <c r="E23" s="23" t="s">
        <v>75</v>
      </c>
      <c r="F23" s="26" t="s">
        <v>22</v>
      </c>
      <c r="G23" s="31">
        <v>0.22</v>
      </c>
      <c r="H23" s="29">
        <v>1.1000000000000001</v>
      </c>
    </row>
    <row r="24" spans="1:8" x14ac:dyDescent="0.25">
      <c r="A24" s="25" t="s">
        <v>77</v>
      </c>
      <c r="B24" s="26" t="s">
        <v>5</v>
      </c>
      <c r="C24" s="26" t="s">
        <v>13</v>
      </c>
      <c r="D24" s="26" t="s">
        <v>74</v>
      </c>
      <c r="E24" s="23" t="s">
        <v>78</v>
      </c>
      <c r="F24" s="26" t="s">
        <v>22</v>
      </c>
      <c r="G24" s="31">
        <v>0.28000000000000003</v>
      </c>
      <c r="H24" s="29">
        <v>1.1000000000000001</v>
      </c>
    </row>
    <row r="25" spans="1:8" x14ac:dyDescent="0.25">
      <c r="A25" s="25" t="s">
        <v>79</v>
      </c>
      <c r="B25" s="26" t="s">
        <v>5</v>
      </c>
      <c r="C25" s="26" t="s">
        <v>13</v>
      </c>
      <c r="D25" s="26" t="s">
        <v>74</v>
      </c>
      <c r="E25" s="23" t="s">
        <v>80</v>
      </c>
      <c r="F25" s="26" t="s">
        <v>22</v>
      </c>
      <c r="G25" s="31">
        <v>0.3</v>
      </c>
      <c r="H25" s="29">
        <v>1.1000000000000001</v>
      </c>
    </row>
    <row r="26" spans="1:8" x14ac:dyDescent="0.25">
      <c r="A26" s="25" t="s">
        <v>81</v>
      </c>
      <c r="B26" s="26" t="s">
        <v>5</v>
      </c>
      <c r="C26" s="26" t="s">
        <v>13</v>
      </c>
      <c r="D26" s="26" t="s">
        <v>74</v>
      </c>
      <c r="E26" s="23" t="s">
        <v>82</v>
      </c>
      <c r="F26" s="26" t="s">
        <v>22</v>
      </c>
      <c r="G26" s="31">
        <v>0.6</v>
      </c>
      <c r="H26" s="29">
        <v>1.1000000000000001</v>
      </c>
    </row>
    <row r="27" spans="1:8" x14ac:dyDescent="0.25">
      <c r="A27" s="25" t="s">
        <v>504</v>
      </c>
      <c r="B27" s="26" t="s">
        <v>5</v>
      </c>
      <c r="C27" s="26" t="s">
        <v>13</v>
      </c>
      <c r="D27" s="26" t="s">
        <v>74</v>
      </c>
      <c r="E27" s="23" t="s">
        <v>83</v>
      </c>
      <c r="F27" s="26" t="s">
        <v>22</v>
      </c>
      <c r="G27" s="31">
        <v>1.2</v>
      </c>
      <c r="H27" s="29">
        <v>1.1000000000000001</v>
      </c>
    </row>
    <row r="28" spans="1:8" x14ac:dyDescent="0.25">
      <c r="A28" s="25" t="s">
        <v>84</v>
      </c>
      <c r="B28" s="26" t="s">
        <v>5</v>
      </c>
      <c r="C28" s="26" t="s">
        <v>13</v>
      </c>
      <c r="D28" s="26" t="s">
        <v>85</v>
      </c>
      <c r="E28" s="23" t="s">
        <v>86</v>
      </c>
      <c r="F28" s="26" t="s">
        <v>22</v>
      </c>
      <c r="G28" s="31">
        <v>0.28000000000000003</v>
      </c>
      <c r="H28" s="29">
        <v>1.1000000000000001</v>
      </c>
    </row>
    <row r="29" spans="1:8" x14ac:dyDescent="0.25">
      <c r="A29" s="25" t="s">
        <v>87</v>
      </c>
      <c r="B29" s="26" t="s">
        <v>5</v>
      </c>
      <c r="C29" s="26" t="s">
        <v>13</v>
      </c>
      <c r="D29" s="26" t="s">
        <v>85</v>
      </c>
      <c r="E29" s="23" t="s">
        <v>88</v>
      </c>
      <c r="F29" s="26" t="s">
        <v>22</v>
      </c>
      <c r="G29" s="31">
        <v>0.26</v>
      </c>
      <c r="H29" s="29">
        <v>1.1000000000000001</v>
      </c>
    </row>
    <row r="30" spans="1:8" x14ac:dyDescent="0.25">
      <c r="A30" s="25" t="s">
        <v>89</v>
      </c>
      <c r="B30" s="26" t="s">
        <v>5</v>
      </c>
      <c r="C30" s="26" t="s">
        <v>13</v>
      </c>
      <c r="D30" s="26" t="s">
        <v>85</v>
      </c>
      <c r="E30" s="23" t="s">
        <v>90</v>
      </c>
      <c r="F30" s="26" t="s">
        <v>22</v>
      </c>
      <c r="G30" s="31">
        <v>0.69</v>
      </c>
      <c r="H30" s="29">
        <v>1.1000000000000001</v>
      </c>
    </row>
    <row r="31" spans="1:8" x14ac:dyDescent="0.25">
      <c r="A31" s="25" t="s">
        <v>91</v>
      </c>
      <c r="B31" s="26" t="s">
        <v>5</v>
      </c>
      <c r="C31" s="26" t="s">
        <v>13</v>
      </c>
      <c r="D31" s="26" t="s">
        <v>85</v>
      </c>
      <c r="E31" s="23" t="s">
        <v>92</v>
      </c>
      <c r="F31" s="26" t="s">
        <v>22</v>
      </c>
      <c r="G31" s="31">
        <v>0.57999999999999996</v>
      </c>
      <c r="H31" s="29">
        <v>1.1000000000000001</v>
      </c>
    </row>
    <row r="32" spans="1:8" x14ac:dyDescent="0.25">
      <c r="A32" s="25" t="s">
        <v>93</v>
      </c>
      <c r="B32" s="26" t="s">
        <v>5</v>
      </c>
      <c r="C32" s="26" t="s">
        <v>13</v>
      </c>
      <c r="D32" s="26" t="s">
        <v>85</v>
      </c>
      <c r="E32" s="23" t="s">
        <v>94</v>
      </c>
      <c r="F32" s="26" t="s">
        <v>22</v>
      </c>
      <c r="G32" s="31">
        <v>1.1599999999999999</v>
      </c>
      <c r="H32" s="29">
        <v>1.1000000000000001</v>
      </c>
    </row>
    <row r="33" spans="1:8" x14ac:dyDescent="0.25">
      <c r="A33" s="25" t="s">
        <v>95</v>
      </c>
      <c r="B33" s="26" t="s">
        <v>5</v>
      </c>
      <c r="C33" s="26" t="s">
        <v>13</v>
      </c>
      <c r="D33" s="26" t="s">
        <v>85</v>
      </c>
      <c r="E33" s="23" t="s">
        <v>96</v>
      </c>
      <c r="F33" s="26" t="s">
        <v>22</v>
      </c>
      <c r="G33" s="31">
        <v>1.85</v>
      </c>
      <c r="H33" s="29">
        <v>1.1000000000000001</v>
      </c>
    </row>
    <row r="34" spans="1:8" x14ac:dyDescent="0.25">
      <c r="A34" s="25" t="s">
        <v>97</v>
      </c>
      <c r="B34" s="26" t="s">
        <v>5</v>
      </c>
      <c r="C34" s="26" t="s">
        <v>13</v>
      </c>
      <c r="D34" s="26" t="s">
        <v>85</v>
      </c>
      <c r="E34" s="23" t="s">
        <v>98</v>
      </c>
      <c r="F34" s="26" t="s">
        <v>22</v>
      </c>
      <c r="G34" s="31">
        <v>0.6</v>
      </c>
      <c r="H34" s="29">
        <v>1.1000000000000001</v>
      </c>
    </row>
    <row r="35" spans="1:8" x14ac:dyDescent="0.25">
      <c r="A35" s="25" t="s">
        <v>99</v>
      </c>
      <c r="B35" s="26" t="s">
        <v>5</v>
      </c>
      <c r="C35" s="26" t="s">
        <v>13</v>
      </c>
      <c r="D35" s="26" t="s">
        <v>85</v>
      </c>
      <c r="E35" s="23" t="s">
        <v>100</v>
      </c>
      <c r="F35" s="26" t="s">
        <v>22</v>
      </c>
      <c r="G35" s="31">
        <v>1.2</v>
      </c>
      <c r="H35" s="29">
        <v>1.1000000000000001</v>
      </c>
    </row>
    <row r="36" spans="1:8" x14ac:dyDescent="0.25">
      <c r="A36" s="25" t="s">
        <v>101</v>
      </c>
      <c r="B36" s="26" t="s">
        <v>5</v>
      </c>
      <c r="C36" s="26" t="s">
        <v>13</v>
      </c>
      <c r="D36" s="26" t="s">
        <v>85</v>
      </c>
      <c r="E36" s="23" t="s">
        <v>102</v>
      </c>
      <c r="F36" s="26" t="s">
        <v>22</v>
      </c>
      <c r="G36" s="31">
        <v>1.6</v>
      </c>
      <c r="H36" s="29">
        <v>1.1000000000000001</v>
      </c>
    </row>
    <row r="37" spans="1:8" x14ac:dyDescent="0.25">
      <c r="A37" s="25" t="s">
        <v>103</v>
      </c>
      <c r="B37" s="26" t="s">
        <v>5</v>
      </c>
      <c r="C37" s="26" t="s">
        <v>13</v>
      </c>
      <c r="D37" s="26" t="s">
        <v>85</v>
      </c>
      <c r="E37" s="23" t="s">
        <v>104</v>
      </c>
      <c r="F37" s="26" t="s">
        <v>22</v>
      </c>
      <c r="G37" s="31">
        <v>1.78</v>
      </c>
      <c r="H37" s="29">
        <v>1.1000000000000001</v>
      </c>
    </row>
    <row r="38" spans="1:8" x14ac:dyDescent="0.25">
      <c r="A38" s="25" t="s">
        <v>105</v>
      </c>
      <c r="B38" s="26" t="s">
        <v>5</v>
      </c>
      <c r="C38" s="26" t="s">
        <v>13</v>
      </c>
      <c r="D38" s="26" t="s">
        <v>85</v>
      </c>
      <c r="E38" s="23" t="s">
        <v>106</v>
      </c>
      <c r="F38" s="26" t="s">
        <v>22</v>
      </c>
      <c r="G38" s="31">
        <v>1.6</v>
      </c>
      <c r="H38" s="29">
        <v>1.1000000000000001</v>
      </c>
    </row>
    <row r="39" spans="1:8" x14ac:dyDescent="0.25">
      <c r="A39" s="25" t="s">
        <v>107</v>
      </c>
      <c r="B39" s="26" t="s">
        <v>5</v>
      </c>
      <c r="C39" s="26" t="s">
        <v>13</v>
      </c>
      <c r="D39" s="26" t="s">
        <v>85</v>
      </c>
      <c r="E39" s="23" t="s">
        <v>108</v>
      </c>
      <c r="F39" s="26" t="s">
        <v>22</v>
      </c>
      <c r="G39" s="31">
        <v>1.1499999999999999</v>
      </c>
      <c r="H39" s="29">
        <v>1.1000000000000001</v>
      </c>
    </row>
    <row r="40" spans="1:8" x14ac:dyDescent="0.25">
      <c r="A40" s="25" t="s">
        <v>109</v>
      </c>
      <c r="B40" s="26" t="s">
        <v>5</v>
      </c>
      <c r="C40" s="26" t="s">
        <v>13</v>
      </c>
      <c r="D40" s="26" t="s">
        <v>85</v>
      </c>
      <c r="E40" s="23" t="s">
        <v>110</v>
      </c>
      <c r="F40" s="26" t="s">
        <v>111</v>
      </c>
      <c r="G40" s="31">
        <v>3.3</v>
      </c>
      <c r="H40" s="29">
        <v>1.1000000000000001</v>
      </c>
    </row>
    <row r="41" spans="1:8" x14ac:dyDescent="0.25">
      <c r="A41" s="25" t="s">
        <v>461</v>
      </c>
      <c r="B41" s="26" t="s">
        <v>5</v>
      </c>
      <c r="C41" s="26" t="s">
        <v>13</v>
      </c>
      <c r="D41" s="26" t="s">
        <v>85</v>
      </c>
      <c r="E41" s="23" t="s">
        <v>462</v>
      </c>
      <c r="F41" s="26" t="s">
        <v>22</v>
      </c>
      <c r="G41" s="31">
        <v>0.25</v>
      </c>
      <c r="H41" s="29">
        <v>1.1000000000000001</v>
      </c>
    </row>
    <row r="42" spans="1:8" x14ac:dyDescent="0.25">
      <c r="A42" s="25" t="s">
        <v>112</v>
      </c>
      <c r="B42" s="26" t="s">
        <v>5</v>
      </c>
      <c r="C42" s="26" t="s">
        <v>13</v>
      </c>
      <c r="D42" s="26" t="s">
        <v>113</v>
      </c>
      <c r="E42" s="23" t="s">
        <v>114</v>
      </c>
      <c r="F42" s="26" t="s">
        <v>21</v>
      </c>
      <c r="G42" s="31">
        <v>61</v>
      </c>
      <c r="H42" s="29">
        <v>1.1000000000000001</v>
      </c>
    </row>
    <row r="43" spans="1:8" x14ac:dyDescent="0.25">
      <c r="A43" s="25" t="s">
        <v>115</v>
      </c>
      <c r="B43" s="26" t="s">
        <v>5</v>
      </c>
      <c r="C43" s="26" t="s">
        <v>13</v>
      </c>
      <c r="D43" s="26" t="s">
        <v>113</v>
      </c>
      <c r="E43" s="23" t="s">
        <v>116</v>
      </c>
      <c r="F43" s="26" t="s">
        <v>21</v>
      </c>
      <c r="G43" s="31">
        <v>65</v>
      </c>
      <c r="H43" s="29">
        <v>1.1000000000000001</v>
      </c>
    </row>
    <row r="44" spans="1:8" x14ac:dyDescent="0.25">
      <c r="A44" s="25" t="s">
        <v>117</v>
      </c>
      <c r="B44" s="26" t="s">
        <v>5</v>
      </c>
      <c r="C44" s="26" t="s">
        <v>13</v>
      </c>
      <c r="D44" s="26" t="s">
        <v>113</v>
      </c>
      <c r="E44" s="23" t="s">
        <v>118</v>
      </c>
      <c r="F44" s="26" t="s">
        <v>21</v>
      </c>
      <c r="G44" s="31">
        <v>54</v>
      </c>
      <c r="H44" s="29">
        <v>1.1000000000000001</v>
      </c>
    </row>
    <row r="45" spans="1:8" x14ac:dyDescent="0.25">
      <c r="A45" s="25" t="s">
        <v>119</v>
      </c>
      <c r="B45" s="26" t="s">
        <v>5</v>
      </c>
      <c r="C45" s="26" t="s">
        <v>13</v>
      </c>
      <c r="D45" s="26" t="s">
        <v>113</v>
      </c>
      <c r="E45" s="23" t="s">
        <v>120</v>
      </c>
      <c r="F45" s="26" t="s">
        <v>21</v>
      </c>
      <c r="G45" s="31">
        <v>62</v>
      </c>
      <c r="H45" s="29">
        <v>1.1000000000000001</v>
      </c>
    </row>
    <row r="46" spans="1:8" x14ac:dyDescent="0.25">
      <c r="A46" s="25" t="s">
        <v>121</v>
      </c>
      <c r="B46" s="26" t="s">
        <v>5</v>
      </c>
      <c r="C46" s="26" t="s">
        <v>13</v>
      </c>
      <c r="D46" s="26" t="s">
        <v>113</v>
      </c>
      <c r="E46" s="23" t="s">
        <v>122</v>
      </c>
      <c r="F46" s="26" t="s">
        <v>21</v>
      </c>
      <c r="G46" s="31">
        <v>70</v>
      </c>
      <c r="H46" s="29">
        <v>1.1000000000000001</v>
      </c>
    </row>
    <row r="47" spans="1:8" x14ac:dyDescent="0.25">
      <c r="A47" s="25" t="s">
        <v>123</v>
      </c>
      <c r="B47" s="26" t="s">
        <v>5</v>
      </c>
      <c r="C47" s="26" t="s">
        <v>13</v>
      </c>
      <c r="D47" s="26" t="s">
        <v>113</v>
      </c>
      <c r="E47" s="23" t="s">
        <v>124</v>
      </c>
      <c r="F47" s="26" t="s">
        <v>21</v>
      </c>
      <c r="G47" s="31">
        <v>84</v>
      </c>
      <c r="H47" s="29">
        <v>1.1000000000000001</v>
      </c>
    </row>
    <row r="48" spans="1:8" x14ac:dyDescent="0.25">
      <c r="A48" s="25" t="s">
        <v>125</v>
      </c>
      <c r="B48" s="26" t="s">
        <v>5</v>
      </c>
      <c r="C48" s="26" t="s">
        <v>13</v>
      </c>
      <c r="D48" s="26" t="s">
        <v>113</v>
      </c>
      <c r="E48" s="23" t="s">
        <v>126</v>
      </c>
      <c r="F48" s="26" t="s">
        <v>21</v>
      </c>
      <c r="H48" s="29">
        <v>1.1000000000000001</v>
      </c>
    </row>
    <row r="49" spans="1:8" x14ac:dyDescent="0.25">
      <c r="A49" s="25" t="s">
        <v>127</v>
      </c>
      <c r="B49" s="26" t="s">
        <v>5</v>
      </c>
      <c r="C49" s="26" t="s">
        <v>13</v>
      </c>
      <c r="D49" s="26" t="s">
        <v>113</v>
      </c>
      <c r="E49" s="23" t="s">
        <v>128</v>
      </c>
      <c r="F49" s="26" t="s">
        <v>21</v>
      </c>
      <c r="H49" s="29">
        <v>1.1000000000000001</v>
      </c>
    </row>
    <row r="50" spans="1:8" x14ac:dyDescent="0.25">
      <c r="A50" s="25" t="s">
        <v>129</v>
      </c>
      <c r="B50" s="26" t="s">
        <v>5</v>
      </c>
      <c r="C50" s="26" t="s">
        <v>13</v>
      </c>
      <c r="D50" s="26" t="s">
        <v>113</v>
      </c>
      <c r="E50" s="23" t="s">
        <v>130</v>
      </c>
      <c r="F50" s="26" t="s">
        <v>21</v>
      </c>
      <c r="H50" s="29">
        <v>1.1000000000000001</v>
      </c>
    </row>
    <row r="51" spans="1:8" x14ac:dyDescent="0.25">
      <c r="A51" s="25" t="s">
        <v>131</v>
      </c>
      <c r="B51" s="26" t="s">
        <v>5</v>
      </c>
      <c r="C51" s="26" t="s">
        <v>13</v>
      </c>
      <c r="D51" s="26" t="s">
        <v>14</v>
      </c>
      <c r="E51" s="27" t="s">
        <v>132</v>
      </c>
      <c r="F51" s="26" t="s">
        <v>22</v>
      </c>
      <c r="G51" s="31">
        <v>1.2</v>
      </c>
      <c r="H51" s="29">
        <v>1</v>
      </c>
    </row>
    <row r="52" spans="1:8" x14ac:dyDescent="0.25">
      <c r="A52" s="25" t="s">
        <v>133</v>
      </c>
      <c r="B52" s="26" t="s">
        <v>5</v>
      </c>
      <c r="C52" s="26" t="s">
        <v>13</v>
      </c>
      <c r="D52" s="26" t="s">
        <v>14</v>
      </c>
      <c r="E52" s="27" t="s">
        <v>134</v>
      </c>
      <c r="F52" s="26" t="s">
        <v>22</v>
      </c>
      <c r="G52" s="31">
        <v>1.1000000000000001</v>
      </c>
      <c r="H52" s="29">
        <v>1</v>
      </c>
    </row>
    <row r="53" spans="1:8" x14ac:dyDescent="0.25">
      <c r="A53" s="25" t="s">
        <v>135</v>
      </c>
      <c r="B53" s="26" t="s">
        <v>5</v>
      </c>
      <c r="C53" s="26" t="s">
        <v>13</v>
      </c>
      <c r="D53" s="26" t="s">
        <v>14</v>
      </c>
      <c r="E53" s="27" t="s">
        <v>136</v>
      </c>
      <c r="F53" s="26" t="s">
        <v>22</v>
      </c>
      <c r="G53" s="31">
        <v>1</v>
      </c>
      <c r="H53" s="29">
        <v>1.05</v>
      </c>
    </row>
    <row r="54" spans="1:8" x14ac:dyDescent="0.25">
      <c r="A54" s="25" t="s">
        <v>377</v>
      </c>
      <c r="B54" s="26" t="s">
        <v>5</v>
      </c>
      <c r="C54" s="26" t="s">
        <v>13</v>
      </c>
      <c r="D54" s="26" t="s">
        <v>14</v>
      </c>
      <c r="E54" s="27" t="s">
        <v>378</v>
      </c>
      <c r="F54" s="26" t="s">
        <v>22</v>
      </c>
      <c r="G54" s="31">
        <v>0.65</v>
      </c>
      <c r="H54" s="29">
        <v>1.05</v>
      </c>
    </row>
    <row r="55" spans="1:8" x14ac:dyDescent="0.25">
      <c r="A55" s="25" t="s">
        <v>137</v>
      </c>
      <c r="B55" s="26" t="s">
        <v>5</v>
      </c>
      <c r="C55" s="26" t="s">
        <v>13</v>
      </c>
      <c r="D55" s="26" t="s">
        <v>14</v>
      </c>
      <c r="E55" s="27" t="s">
        <v>138</v>
      </c>
      <c r="F55" s="26" t="s">
        <v>22</v>
      </c>
      <c r="G55" s="31">
        <v>0.4</v>
      </c>
      <c r="H55" s="29">
        <v>1.03</v>
      </c>
    </row>
    <row r="56" spans="1:8" x14ac:dyDescent="0.25">
      <c r="A56" s="25" t="s">
        <v>139</v>
      </c>
      <c r="B56" s="26" t="s">
        <v>5</v>
      </c>
      <c r="C56" s="26" t="s">
        <v>13</v>
      </c>
      <c r="D56" s="26" t="s">
        <v>14</v>
      </c>
      <c r="E56" s="27" t="s">
        <v>140</v>
      </c>
      <c r="F56" s="26" t="s">
        <v>22</v>
      </c>
      <c r="G56" s="31">
        <v>0.4</v>
      </c>
      <c r="H56" s="29">
        <v>1.03</v>
      </c>
    </row>
    <row r="57" spans="1:8" x14ac:dyDescent="0.25">
      <c r="A57" s="25" t="s">
        <v>141</v>
      </c>
      <c r="B57" s="26" t="s">
        <v>5</v>
      </c>
      <c r="C57" s="26" t="s">
        <v>13</v>
      </c>
      <c r="D57" s="26" t="s">
        <v>14</v>
      </c>
      <c r="E57" s="27" t="s">
        <v>142</v>
      </c>
      <c r="F57" s="26" t="s">
        <v>22</v>
      </c>
      <c r="G57" s="31">
        <v>0.4</v>
      </c>
      <c r="H57" s="29">
        <v>1.03</v>
      </c>
    </row>
    <row r="58" spans="1:8" x14ac:dyDescent="0.25">
      <c r="A58" s="25" t="s">
        <v>143</v>
      </c>
      <c r="B58" s="26" t="s">
        <v>5</v>
      </c>
      <c r="C58" s="26" t="s">
        <v>13</v>
      </c>
      <c r="D58" s="26" t="s">
        <v>14</v>
      </c>
      <c r="E58" s="27" t="s">
        <v>144</v>
      </c>
      <c r="F58" s="26" t="s">
        <v>22</v>
      </c>
      <c r="G58" s="31">
        <v>0.45</v>
      </c>
      <c r="H58" s="29">
        <v>1.03</v>
      </c>
    </row>
    <row r="59" spans="1:8" x14ac:dyDescent="0.25">
      <c r="A59" s="25" t="s">
        <v>145</v>
      </c>
      <c r="B59" s="26" t="s">
        <v>5</v>
      </c>
      <c r="C59" s="26" t="s">
        <v>13</v>
      </c>
      <c r="D59" s="26" t="s">
        <v>14</v>
      </c>
      <c r="E59" s="27" t="s">
        <v>146</v>
      </c>
      <c r="F59" s="26" t="s">
        <v>22</v>
      </c>
      <c r="G59" s="31">
        <v>0.45</v>
      </c>
      <c r="H59" s="29">
        <v>1.03</v>
      </c>
    </row>
    <row r="60" spans="1:8" x14ac:dyDescent="0.25">
      <c r="A60" s="25" t="s">
        <v>147</v>
      </c>
      <c r="B60" s="26" t="s">
        <v>5</v>
      </c>
      <c r="C60" s="26" t="s">
        <v>13</v>
      </c>
      <c r="D60" s="26" t="s">
        <v>14</v>
      </c>
      <c r="E60" s="27" t="s">
        <v>148</v>
      </c>
      <c r="F60" s="26" t="s">
        <v>22</v>
      </c>
      <c r="G60" s="31">
        <v>0.5</v>
      </c>
      <c r="H60" s="29">
        <v>1.03</v>
      </c>
    </row>
    <row r="61" spans="1:8" x14ac:dyDescent="0.25">
      <c r="A61" s="25" t="s">
        <v>149</v>
      </c>
      <c r="B61" s="26" t="s">
        <v>5</v>
      </c>
      <c r="C61" s="26" t="s">
        <v>13</v>
      </c>
      <c r="D61" s="26" t="s">
        <v>14</v>
      </c>
      <c r="E61" s="27" t="s">
        <v>150</v>
      </c>
      <c r="F61" s="26" t="s">
        <v>22</v>
      </c>
      <c r="G61" s="31">
        <v>0.55000000000000004</v>
      </c>
      <c r="H61" s="29">
        <v>1.03</v>
      </c>
    </row>
    <row r="62" spans="1:8" x14ac:dyDescent="0.25">
      <c r="A62" s="25" t="s">
        <v>151</v>
      </c>
      <c r="B62" s="26" t="s">
        <v>5</v>
      </c>
      <c r="C62" s="26" t="s">
        <v>13</v>
      </c>
      <c r="D62" s="26" t="s">
        <v>14</v>
      </c>
      <c r="E62" s="27" t="s">
        <v>152</v>
      </c>
      <c r="F62" s="26" t="s">
        <v>22</v>
      </c>
      <c r="G62" s="31">
        <v>0.55000000000000004</v>
      </c>
      <c r="H62" s="29">
        <v>1.03</v>
      </c>
    </row>
    <row r="63" spans="1:8" x14ac:dyDescent="0.25">
      <c r="A63" s="25" t="s">
        <v>153</v>
      </c>
      <c r="B63" s="26" t="s">
        <v>5</v>
      </c>
      <c r="C63" s="26" t="s">
        <v>13</v>
      </c>
      <c r="D63" s="26" t="s">
        <v>14</v>
      </c>
      <c r="E63" s="27" t="s">
        <v>154</v>
      </c>
      <c r="F63" s="26" t="s">
        <v>22</v>
      </c>
      <c r="G63" s="31">
        <v>0.6</v>
      </c>
      <c r="H63" s="29">
        <v>1.03</v>
      </c>
    </row>
    <row r="64" spans="1:8" x14ac:dyDescent="0.25">
      <c r="A64" s="25" t="s">
        <v>155</v>
      </c>
      <c r="B64" s="26" t="s">
        <v>5</v>
      </c>
      <c r="C64" s="26" t="s">
        <v>13</v>
      </c>
      <c r="D64" s="26" t="s">
        <v>14</v>
      </c>
      <c r="E64" s="27" t="s">
        <v>156</v>
      </c>
      <c r="F64" s="26" t="s">
        <v>22</v>
      </c>
      <c r="G64" s="31">
        <v>0.7</v>
      </c>
      <c r="H64" s="29">
        <v>1.03</v>
      </c>
    </row>
    <row r="65" spans="1:8" x14ac:dyDescent="0.25">
      <c r="A65" s="25" t="s">
        <v>157</v>
      </c>
      <c r="B65" s="26" t="s">
        <v>5</v>
      </c>
      <c r="C65" s="26" t="s">
        <v>13</v>
      </c>
      <c r="D65" s="26" t="s">
        <v>14</v>
      </c>
      <c r="E65" s="27" t="s">
        <v>158</v>
      </c>
      <c r="F65" s="26" t="s">
        <v>22</v>
      </c>
      <c r="G65" s="31">
        <v>0.45</v>
      </c>
      <c r="H65" s="29">
        <v>1.03</v>
      </c>
    </row>
    <row r="66" spans="1:8" x14ac:dyDescent="0.25">
      <c r="A66" s="25" t="s">
        <v>159</v>
      </c>
      <c r="B66" s="26" t="s">
        <v>5</v>
      </c>
      <c r="C66" s="26" t="s">
        <v>13</v>
      </c>
      <c r="D66" s="26" t="s">
        <v>14</v>
      </c>
      <c r="E66" s="27" t="s">
        <v>160</v>
      </c>
      <c r="F66" s="26" t="s">
        <v>22</v>
      </c>
      <c r="G66" s="31">
        <v>0.55000000000000004</v>
      </c>
      <c r="H66" s="29">
        <v>1.03</v>
      </c>
    </row>
    <row r="67" spans="1:8" x14ac:dyDescent="0.25">
      <c r="A67" s="25" t="s">
        <v>161</v>
      </c>
      <c r="B67" s="26" t="s">
        <v>5</v>
      </c>
      <c r="C67" s="26" t="s">
        <v>13</v>
      </c>
      <c r="D67" s="26" t="s">
        <v>14</v>
      </c>
      <c r="E67" s="27" t="s">
        <v>162</v>
      </c>
      <c r="F67" s="26" t="s">
        <v>22</v>
      </c>
      <c r="G67" s="31">
        <v>0.7</v>
      </c>
      <c r="H67" s="29">
        <v>1.03</v>
      </c>
    </row>
    <row r="68" spans="1:8" x14ac:dyDescent="0.25">
      <c r="A68" s="25" t="s">
        <v>163</v>
      </c>
      <c r="B68" s="26" t="s">
        <v>5</v>
      </c>
      <c r="C68" s="26" t="s">
        <v>13</v>
      </c>
      <c r="D68" s="26" t="s">
        <v>14</v>
      </c>
      <c r="E68" s="27" t="s">
        <v>164</v>
      </c>
      <c r="F68" s="26" t="s">
        <v>22</v>
      </c>
      <c r="G68" s="31">
        <v>0.75</v>
      </c>
      <c r="H68" s="29">
        <v>1.03</v>
      </c>
    </row>
    <row r="69" spans="1:8" x14ac:dyDescent="0.25">
      <c r="A69" s="25" t="s">
        <v>165</v>
      </c>
      <c r="B69" s="26" t="s">
        <v>5</v>
      </c>
      <c r="C69" s="26" t="s">
        <v>13</v>
      </c>
      <c r="D69" s="26" t="s">
        <v>14</v>
      </c>
      <c r="E69" s="27" t="s">
        <v>166</v>
      </c>
      <c r="F69" s="26" t="s">
        <v>22</v>
      </c>
      <c r="G69" s="31">
        <v>0.8</v>
      </c>
      <c r="H69" s="29">
        <v>1.03</v>
      </c>
    </row>
    <row r="70" spans="1:8" x14ac:dyDescent="0.25">
      <c r="A70" s="25" t="s">
        <v>167</v>
      </c>
      <c r="B70" s="26" t="s">
        <v>5</v>
      </c>
      <c r="C70" s="26" t="s">
        <v>13</v>
      </c>
      <c r="D70" s="26" t="s">
        <v>14</v>
      </c>
      <c r="E70" s="27" t="s">
        <v>168</v>
      </c>
      <c r="F70" s="26" t="s">
        <v>22</v>
      </c>
      <c r="G70" s="31">
        <v>0.9</v>
      </c>
      <c r="H70" s="29">
        <v>1.03</v>
      </c>
    </row>
    <row r="71" spans="1:8" x14ac:dyDescent="0.25">
      <c r="A71" s="25" t="s">
        <v>169</v>
      </c>
      <c r="B71" s="26" t="s">
        <v>5</v>
      </c>
      <c r="C71" s="26" t="s">
        <v>13</v>
      </c>
      <c r="D71" s="26" t="s">
        <v>26</v>
      </c>
      <c r="E71" s="27" t="s">
        <v>170</v>
      </c>
      <c r="F71" s="26" t="s">
        <v>20</v>
      </c>
      <c r="G71" s="31">
        <v>20</v>
      </c>
      <c r="H71" s="29">
        <v>0.5</v>
      </c>
    </row>
    <row r="72" spans="1:8" x14ac:dyDescent="0.25">
      <c r="A72" s="25" t="s">
        <v>171</v>
      </c>
      <c r="B72" s="26" t="s">
        <v>5</v>
      </c>
      <c r="C72" s="26" t="s">
        <v>13</v>
      </c>
      <c r="D72" s="26" t="s">
        <v>26</v>
      </c>
      <c r="E72" s="27" t="s">
        <v>172</v>
      </c>
      <c r="F72" s="26" t="s">
        <v>21</v>
      </c>
      <c r="G72" s="31">
        <v>340</v>
      </c>
      <c r="H72" s="29">
        <v>0.5</v>
      </c>
    </row>
    <row r="73" spans="1:8" x14ac:dyDescent="0.25">
      <c r="A73" s="25" t="s">
        <v>173</v>
      </c>
      <c r="B73" s="26" t="s">
        <v>5</v>
      </c>
      <c r="C73" s="26" t="s">
        <v>13</v>
      </c>
      <c r="D73" s="26" t="s">
        <v>26</v>
      </c>
      <c r="E73" s="27" t="s">
        <v>174</v>
      </c>
      <c r="F73" s="26" t="s">
        <v>20</v>
      </c>
      <c r="G73" s="31">
        <v>3.5</v>
      </c>
      <c r="H73" s="29">
        <v>0.5</v>
      </c>
    </row>
    <row r="74" spans="1:8" x14ac:dyDescent="0.25">
      <c r="A74" s="25" t="s">
        <v>175</v>
      </c>
      <c r="B74" s="26" t="s">
        <v>5</v>
      </c>
      <c r="C74" s="26" t="s">
        <v>13</v>
      </c>
      <c r="D74" s="26" t="s">
        <v>26</v>
      </c>
      <c r="E74" s="27" t="s">
        <v>176</v>
      </c>
      <c r="F74" s="26" t="s">
        <v>20</v>
      </c>
      <c r="G74" s="31">
        <v>5.8</v>
      </c>
      <c r="H74" s="29">
        <v>0.1</v>
      </c>
    </row>
    <row r="75" spans="1:8" x14ac:dyDescent="0.25">
      <c r="A75" s="25" t="s">
        <v>177</v>
      </c>
      <c r="B75" s="26" t="s">
        <v>5</v>
      </c>
      <c r="C75" s="26" t="s">
        <v>13</v>
      </c>
      <c r="D75" s="26" t="s">
        <v>26</v>
      </c>
      <c r="E75" s="27" t="s">
        <v>178</v>
      </c>
      <c r="F75" s="26" t="s">
        <v>18</v>
      </c>
      <c r="G75" s="31">
        <v>9.7200000000000006</v>
      </c>
      <c r="H75" s="29">
        <v>0.1</v>
      </c>
    </row>
    <row r="76" spans="1:8" x14ac:dyDescent="0.25">
      <c r="A76" s="25" t="s">
        <v>179</v>
      </c>
      <c r="B76" s="26" t="s">
        <v>5</v>
      </c>
      <c r="C76" s="26" t="s">
        <v>10</v>
      </c>
      <c r="D76" s="26" t="s">
        <v>23</v>
      </c>
      <c r="E76" s="27" t="s">
        <v>180</v>
      </c>
      <c r="F76" s="26" t="s">
        <v>22</v>
      </c>
      <c r="G76" s="31">
        <v>2</v>
      </c>
      <c r="H76" s="29">
        <v>1</v>
      </c>
    </row>
    <row r="77" spans="1:8" x14ac:dyDescent="0.25">
      <c r="A77" s="25" t="s">
        <v>359</v>
      </c>
      <c r="B77" s="26" t="s">
        <v>5</v>
      </c>
      <c r="C77" s="26" t="s">
        <v>10</v>
      </c>
      <c r="D77" s="26" t="s">
        <v>23</v>
      </c>
      <c r="E77" s="27" t="s">
        <v>358</v>
      </c>
      <c r="F77" s="26" t="s">
        <v>111</v>
      </c>
      <c r="G77" s="31">
        <v>1.7</v>
      </c>
      <c r="H77" s="29">
        <v>1</v>
      </c>
    </row>
    <row r="78" spans="1:8" x14ac:dyDescent="0.25">
      <c r="A78" s="25" t="s">
        <v>469</v>
      </c>
      <c r="B78" s="26" t="s">
        <v>5</v>
      </c>
      <c r="C78" s="26" t="s">
        <v>13</v>
      </c>
      <c r="D78" s="26" t="s">
        <v>181</v>
      </c>
      <c r="E78" s="23" t="s">
        <v>182</v>
      </c>
      <c r="F78" s="26" t="s">
        <v>24</v>
      </c>
      <c r="G78" s="31">
        <v>0.86</v>
      </c>
      <c r="H78" s="29">
        <v>1.1000000000000001</v>
      </c>
    </row>
    <row r="79" spans="1:8" x14ac:dyDescent="0.25">
      <c r="A79" s="25" t="s">
        <v>470</v>
      </c>
      <c r="B79" s="26" t="s">
        <v>5</v>
      </c>
      <c r="C79" s="26" t="s">
        <v>13</v>
      </c>
      <c r="D79" s="26" t="s">
        <v>181</v>
      </c>
      <c r="E79" s="23" t="s">
        <v>183</v>
      </c>
      <c r="F79" s="26" t="s">
        <v>24</v>
      </c>
      <c r="G79" s="31">
        <v>1.03</v>
      </c>
      <c r="H79" s="29">
        <v>1.1000000000000001</v>
      </c>
    </row>
    <row r="80" spans="1:8" x14ac:dyDescent="0.25">
      <c r="A80" s="25" t="s">
        <v>471</v>
      </c>
      <c r="B80" s="26" t="s">
        <v>5</v>
      </c>
      <c r="C80" s="26" t="s">
        <v>13</v>
      </c>
      <c r="D80" s="26" t="s">
        <v>181</v>
      </c>
      <c r="E80" s="23" t="s">
        <v>184</v>
      </c>
      <c r="F80" s="26" t="s">
        <v>24</v>
      </c>
      <c r="G80" s="31">
        <v>1.19</v>
      </c>
      <c r="H80" s="29">
        <v>1.1000000000000001</v>
      </c>
    </row>
    <row r="81" spans="1:8" x14ac:dyDescent="0.25">
      <c r="A81" s="25" t="s">
        <v>472</v>
      </c>
      <c r="B81" s="26" t="s">
        <v>5</v>
      </c>
      <c r="C81" s="26" t="s">
        <v>13</v>
      </c>
      <c r="D81" s="26" t="s">
        <v>181</v>
      </c>
      <c r="E81" s="23" t="s">
        <v>185</v>
      </c>
      <c r="F81" s="26" t="s">
        <v>24</v>
      </c>
      <c r="G81" s="31">
        <v>1.51</v>
      </c>
      <c r="H81" s="29">
        <v>1.1000000000000001</v>
      </c>
    </row>
    <row r="82" spans="1:8" x14ac:dyDescent="0.25">
      <c r="A82" s="25" t="s">
        <v>473</v>
      </c>
      <c r="B82" s="26" t="s">
        <v>5</v>
      </c>
      <c r="C82" s="26" t="s">
        <v>13</v>
      </c>
      <c r="D82" s="26" t="s">
        <v>181</v>
      </c>
      <c r="E82" s="23" t="s">
        <v>186</v>
      </c>
      <c r="F82" s="26" t="s">
        <v>24</v>
      </c>
      <c r="H82" s="29">
        <v>1.1000000000000001</v>
      </c>
    </row>
    <row r="83" spans="1:8" x14ac:dyDescent="0.25">
      <c r="A83" s="25" t="s">
        <v>483</v>
      </c>
      <c r="B83" s="26" t="s">
        <v>5</v>
      </c>
      <c r="C83" s="26" t="s">
        <v>13</v>
      </c>
      <c r="D83" s="26" t="s">
        <v>181</v>
      </c>
      <c r="E83" s="23" t="s">
        <v>484</v>
      </c>
      <c r="F83" s="26" t="s">
        <v>24</v>
      </c>
      <c r="G83" s="31">
        <v>1.67</v>
      </c>
      <c r="H83" s="29">
        <v>1.1000000000000001</v>
      </c>
    </row>
    <row r="84" spans="1:8" x14ac:dyDescent="0.25">
      <c r="A84" s="25" t="s">
        <v>474</v>
      </c>
      <c r="B84" s="26" t="s">
        <v>5</v>
      </c>
      <c r="C84" s="26" t="s">
        <v>13</v>
      </c>
      <c r="D84" s="26" t="s">
        <v>181</v>
      </c>
      <c r="E84" s="23" t="s">
        <v>187</v>
      </c>
      <c r="F84" s="26" t="s">
        <v>24</v>
      </c>
      <c r="G84" s="31">
        <v>1.8</v>
      </c>
      <c r="H84" s="29">
        <v>1.1000000000000001</v>
      </c>
    </row>
    <row r="85" spans="1:8" x14ac:dyDescent="0.25">
      <c r="A85" s="25" t="s">
        <v>475</v>
      </c>
      <c r="B85" s="26" t="s">
        <v>5</v>
      </c>
      <c r="C85" s="26" t="s">
        <v>13</v>
      </c>
      <c r="D85" s="26" t="s">
        <v>181</v>
      </c>
      <c r="E85" s="23" t="s">
        <v>188</v>
      </c>
      <c r="F85" s="26" t="s">
        <v>24</v>
      </c>
      <c r="G85" s="31">
        <v>3.5</v>
      </c>
      <c r="H85" s="29">
        <v>1.1000000000000001</v>
      </c>
    </row>
    <row r="86" spans="1:8" x14ac:dyDescent="0.25">
      <c r="A86" s="25" t="s">
        <v>507</v>
      </c>
      <c r="B86" s="26" t="s">
        <v>5</v>
      </c>
      <c r="C86" s="26" t="s">
        <v>13</v>
      </c>
      <c r="D86" s="26" t="s">
        <v>181</v>
      </c>
      <c r="E86" s="23" t="s">
        <v>508</v>
      </c>
      <c r="F86" s="26" t="s">
        <v>24</v>
      </c>
      <c r="G86" s="31">
        <v>1.4</v>
      </c>
      <c r="H86" s="29">
        <v>1.1000000000000001</v>
      </c>
    </row>
    <row r="87" spans="1:8" x14ac:dyDescent="0.25">
      <c r="A87" s="25" t="s">
        <v>189</v>
      </c>
      <c r="B87" s="26" t="s">
        <v>5</v>
      </c>
      <c r="C87" s="26" t="s">
        <v>13</v>
      </c>
      <c r="D87" s="26" t="s">
        <v>190</v>
      </c>
      <c r="E87" s="23" t="s">
        <v>191</v>
      </c>
      <c r="F87" s="26" t="s">
        <v>24</v>
      </c>
      <c r="H87" s="29">
        <v>1</v>
      </c>
    </row>
    <row r="88" spans="1:8" x14ac:dyDescent="0.25">
      <c r="A88" s="25" t="s">
        <v>192</v>
      </c>
      <c r="B88" s="26" t="s">
        <v>5</v>
      </c>
      <c r="C88" s="26" t="s">
        <v>13</v>
      </c>
      <c r="D88" s="26" t="s">
        <v>190</v>
      </c>
      <c r="E88" s="23" t="s">
        <v>193</v>
      </c>
      <c r="F88" s="26" t="s">
        <v>24</v>
      </c>
      <c r="H88" s="29">
        <v>1</v>
      </c>
    </row>
    <row r="89" spans="1:8" x14ac:dyDescent="0.25">
      <c r="A89" s="25" t="s">
        <v>194</v>
      </c>
      <c r="B89" s="26" t="s">
        <v>5</v>
      </c>
      <c r="C89" s="26" t="s">
        <v>13</v>
      </c>
      <c r="D89" s="26" t="s">
        <v>190</v>
      </c>
      <c r="E89" s="23" t="s">
        <v>195</v>
      </c>
      <c r="F89" s="26" t="s">
        <v>24</v>
      </c>
      <c r="H89" s="29">
        <v>1</v>
      </c>
    </row>
    <row r="90" spans="1:8" x14ac:dyDescent="0.25">
      <c r="A90" s="25" t="s">
        <v>196</v>
      </c>
      <c r="B90" s="26" t="s">
        <v>5</v>
      </c>
      <c r="C90" s="26" t="s">
        <v>13</v>
      </c>
      <c r="D90" s="26" t="s">
        <v>190</v>
      </c>
      <c r="E90" s="23" t="s">
        <v>197</v>
      </c>
      <c r="F90" s="26" t="s">
        <v>24</v>
      </c>
      <c r="H90" s="29">
        <v>1</v>
      </c>
    </row>
    <row r="91" spans="1:8" x14ac:dyDescent="0.25">
      <c r="A91" s="25" t="s">
        <v>198</v>
      </c>
      <c r="B91" s="26" t="s">
        <v>5</v>
      </c>
      <c r="C91" s="26" t="s">
        <v>13</v>
      </c>
      <c r="D91" s="26" t="s">
        <v>190</v>
      </c>
      <c r="E91" s="23" t="s">
        <v>199</v>
      </c>
      <c r="F91" s="26" t="s">
        <v>24</v>
      </c>
      <c r="H91" s="29">
        <v>1</v>
      </c>
    </row>
    <row r="92" spans="1:8" x14ac:dyDescent="0.25">
      <c r="A92" s="25" t="s">
        <v>200</v>
      </c>
      <c r="B92" s="26" t="s">
        <v>5</v>
      </c>
      <c r="C92" s="26" t="s">
        <v>13</v>
      </c>
      <c r="D92" s="26" t="s">
        <v>190</v>
      </c>
      <c r="E92" s="23" t="s">
        <v>201</v>
      </c>
      <c r="F92" s="26" t="s">
        <v>24</v>
      </c>
      <c r="H92" s="29">
        <v>1</v>
      </c>
    </row>
    <row r="93" spans="1:8" x14ac:dyDescent="0.25">
      <c r="A93" s="25" t="s">
        <v>202</v>
      </c>
      <c r="B93" s="26" t="s">
        <v>5</v>
      </c>
      <c r="C93" s="26" t="s">
        <v>13</v>
      </c>
      <c r="D93" s="26" t="s">
        <v>190</v>
      </c>
      <c r="E93" s="23" t="s">
        <v>203</v>
      </c>
      <c r="F93" s="26" t="s">
        <v>24</v>
      </c>
      <c r="H93" s="29">
        <v>1</v>
      </c>
    </row>
    <row r="94" spans="1:8" x14ac:dyDescent="0.25">
      <c r="A94" s="25" t="s">
        <v>204</v>
      </c>
      <c r="B94" s="26" t="s">
        <v>5</v>
      </c>
      <c r="C94" s="26" t="s">
        <v>13</v>
      </c>
      <c r="D94" s="26" t="s">
        <v>190</v>
      </c>
      <c r="E94" s="23" t="s">
        <v>205</v>
      </c>
      <c r="F94" s="26" t="s">
        <v>24</v>
      </c>
      <c r="H94" s="29">
        <v>1</v>
      </c>
    </row>
    <row r="95" spans="1:8" x14ac:dyDescent="0.25">
      <c r="A95" s="25" t="s">
        <v>206</v>
      </c>
      <c r="B95" s="26" t="s">
        <v>5</v>
      </c>
      <c r="C95" s="26" t="s">
        <v>13</v>
      </c>
      <c r="D95" s="26" t="s">
        <v>207</v>
      </c>
      <c r="E95" s="23" t="s">
        <v>208</v>
      </c>
      <c r="F95" s="26" t="s">
        <v>24</v>
      </c>
      <c r="H95" s="29">
        <v>1</v>
      </c>
    </row>
    <row r="96" spans="1:8" x14ac:dyDescent="0.25">
      <c r="A96" s="25" t="s">
        <v>209</v>
      </c>
      <c r="B96" s="26" t="s">
        <v>5</v>
      </c>
      <c r="C96" s="26" t="s">
        <v>13</v>
      </c>
      <c r="D96" s="26" t="s">
        <v>207</v>
      </c>
      <c r="E96" s="23" t="s">
        <v>210</v>
      </c>
      <c r="F96" s="26" t="s">
        <v>24</v>
      </c>
      <c r="H96" s="29">
        <v>1</v>
      </c>
    </row>
    <row r="97" spans="1:8" x14ac:dyDescent="0.25">
      <c r="A97" s="25" t="s">
        <v>211</v>
      </c>
      <c r="B97" s="26" t="s">
        <v>5</v>
      </c>
      <c r="C97" s="26" t="s">
        <v>13</v>
      </c>
      <c r="D97" s="26" t="s">
        <v>207</v>
      </c>
      <c r="E97" s="23" t="s">
        <v>212</v>
      </c>
      <c r="F97" s="26" t="s">
        <v>24</v>
      </c>
      <c r="H97" s="29">
        <v>1</v>
      </c>
    </row>
    <row r="98" spans="1:8" x14ac:dyDescent="0.25">
      <c r="A98" s="25" t="s">
        <v>213</v>
      </c>
      <c r="B98" s="26" t="s">
        <v>5</v>
      </c>
      <c r="C98" s="26" t="s">
        <v>13</v>
      </c>
      <c r="D98" s="26" t="s">
        <v>207</v>
      </c>
      <c r="E98" s="23" t="s">
        <v>214</v>
      </c>
      <c r="F98" s="26" t="s">
        <v>24</v>
      </c>
      <c r="H98" s="29">
        <v>1</v>
      </c>
    </row>
    <row r="99" spans="1:8" x14ac:dyDescent="0.25">
      <c r="A99" s="25" t="s">
        <v>522</v>
      </c>
      <c r="B99" s="26" t="s">
        <v>5</v>
      </c>
      <c r="C99" s="26" t="s">
        <v>13</v>
      </c>
      <c r="D99" s="26" t="s">
        <v>19</v>
      </c>
      <c r="E99" s="23" t="s">
        <v>215</v>
      </c>
      <c r="F99" s="26" t="s">
        <v>18</v>
      </c>
      <c r="G99" s="31">
        <v>32</v>
      </c>
      <c r="H99" s="29">
        <v>1</v>
      </c>
    </row>
    <row r="100" spans="1:8" x14ac:dyDescent="0.25">
      <c r="A100" s="25" t="s">
        <v>216</v>
      </c>
      <c r="B100" s="26" t="s">
        <v>5</v>
      </c>
      <c r="C100" s="26" t="s">
        <v>13</v>
      </c>
      <c r="D100" s="26" t="s">
        <v>19</v>
      </c>
      <c r="E100" s="23" t="s">
        <v>217</v>
      </c>
      <c r="F100" s="26" t="s">
        <v>18</v>
      </c>
      <c r="G100" s="31">
        <v>42</v>
      </c>
      <c r="H100" s="29">
        <v>1</v>
      </c>
    </row>
    <row r="101" spans="1:8" x14ac:dyDescent="0.25">
      <c r="A101" s="25" t="s">
        <v>218</v>
      </c>
      <c r="B101" s="26" t="s">
        <v>5</v>
      </c>
      <c r="C101" s="26" t="s">
        <v>13</v>
      </c>
      <c r="D101" s="26" t="s">
        <v>19</v>
      </c>
      <c r="E101" s="23" t="s">
        <v>219</v>
      </c>
      <c r="F101" s="26" t="s">
        <v>18</v>
      </c>
      <c r="G101" s="31">
        <v>76</v>
      </c>
      <c r="H101" s="29">
        <v>1</v>
      </c>
    </row>
    <row r="102" spans="1:8" x14ac:dyDescent="0.25">
      <c r="A102" s="25" t="s">
        <v>220</v>
      </c>
      <c r="B102" s="26" t="s">
        <v>5</v>
      </c>
      <c r="C102" s="26" t="s">
        <v>10</v>
      </c>
      <c r="D102" s="26" t="s">
        <v>221</v>
      </c>
      <c r="E102" s="23" t="s">
        <v>222</v>
      </c>
      <c r="F102" s="26" t="s">
        <v>18</v>
      </c>
      <c r="G102" s="31">
        <v>0.75</v>
      </c>
      <c r="H102" s="29">
        <v>1</v>
      </c>
    </row>
    <row r="103" spans="1:8" x14ac:dyDescent="0.25">
      <c r="A103" s="25" t="s">
        <v>223</v>
      </c>
      <c r="B103" s="26" t="s">
        <v>5</v>
      </c>
      <c r="C103" s="26" t="s">
        <v>10</v>
      </c>
      <c r="D103" s="26" t="s">
        <v>221</v>
      </c>
      <c r="E103" s="23" t="s">
        <v>224</v>
      </c>
      <c r="F103" s="26" t="s">
        <v>18</v>
      </c>
      <c r="G103" s="31">
        <v>1.8</v>
      </c>
      <c r="H103" s="29">
        <v>1</v>
      </c>
    </row>
    <row r="104" spans="1:8" x14ac:dyDescent="0.25">
      <c r="A104" s="25" t="s">
        <v>225</v>
      </c>
      <c r="B104" s="26" t="s">
        <v>5</v>
      </c>
      <c r="C104" s="26" t="s">
        <v>10</v>
      </c>
      <c r="D104" s="26" t="s">
        <v>221</v>
      </c>
      <c r="E104" s="23" t="s">
        <v>226</v>
      </c>
      <c r="F104" s="26" t="s">
        <v>24</v>
      </c>
      <c r="G104" s="31">
        <v>40</v>
      </c>
      <c r="H104" s="29">
        <v>1</v>
      </c>
    </row>
    <row r="105" spans="1:8" x14ac:dyDescent="0.25">
      <c r="A105" s="25" t="s">
        <v>227</v>
      </c>
      <c r="B105" s="26" t="s">
        <v>5</v>
      </c>
      <c r="C105" s="26" t="s">
        <v>10</v>
      </c>
      <c r="D105" s="26" t="s">
        <v>221</v>
      </c>
      <c r="E105" s="23" t="s">
        <v>228</v>
      </c>
      <c r="F105" s="26" t="s">
        <v>24</v>
      </c>
      <c r="G105" s="31">
        <v>0.5</v>
      </c>
      <c r="H105" s="29">
        <v>1</v>
      </c>
    </row>
    <row r="106" spans="1:8" x14ac:dyDescent="0.25">
      <c r="A106" s="25" t="s">
        <v>229</v>
      </c>
      <c r="B106" s="26" t="s">
        <v>5</v>
      </c>
      <c r="C106" s="26" t="s">
        <v>10</v>
      </c>
      <c r="D106" s="26" t="s">
        <v>221</v>
      </c>
      <c r="E106" s="23" t="s">
        <v>230</v>
      </c>
      <c r="F106" s="26" t="s">
        <v>18</v>
      </c>
      <c r="G106" s="31">
        <v>0.15</v>
      </c>
      <c r="H106" s="29">
        <v>1</v>
      </c>
    </row>
    <row r="107" spans="1:8" x14ac:dyDescent="0.25">
      <c r="A107" s="25" t="s">
        <v>231</v>
      </c>
      <c r="B107" s="26" t="s">
        <v>5</v>
      </c>
      <c r="C107" s="26" t="s">
        <v>10</v>
      </c>
      <c r="D107" s="26" t="s">
        <v>221</v>
      </c>
      <c r="E107" s="23" t="s">
        <v>232</v>
      </c>
      <c r="F107" s="26" t="s">
        <v>111</v>
      </c>
      <c r="G107" s="31">
        <v>5</v>
      </c>
      <c r="H107" s="29">
        <v>1.1000000000000001</v>
      </c>
    </row>
    <row r="108" spans="1:8" x14ac:dyDescent="0.25">
      <c r="A108" s="25" t="s">
        <v>233</v>
      </c>
      <c r="B108" s="26" t="s">
        <v>5</v>
      </c>
      <c r="C108" s="26" t="s">
        <v>10</v>
      </c>
      <c r="D108" s="26" t="s">
        <v>445</v>
      </c>
      <c r="E108" s="23" t="s">
        <v>234</v>
      </c>
      <c r="F108" s="26" t="s">
        <v>18</v>
      </c>
      <c r="G108" s="31">
        <v>12</v>
      </c>
      <c r="H108" s="29">
        <v>0.5</v>
      </c>
    </row>
    <row r="109" spans="1:8" x14ac:dyDescent="0.25">
      <c r="A109" s="25" t="s">
        <v>235</v>
      </c>
      <c r="B109" s="26" t="s">
        <v>5</v>
      </c>
      <c r="C109" s="26" t="s">
        <v>10</v>
      </c>
      <c r="D109" s="26" t="s">
        <v>445</v>
      </c>
      <c r="E109" s="23" t="s">
        <v>236</v>
      </c>
      <c r="F109" s="26" t="s">
        <v>18</v>
      </c>
      <c r="G109" s="31">
        <v>14</v>
      </c>
      <c r="H109" s="29">
        <v>0.5</v>
      </c>
    </row>
    <row r="110" spans="1:8" x14ac:dyDescent="0.25">
      <c r="A110" s="25" t="s">
        <v>237</v>
      </c>
      <c r="B110" s="26" t="s">
        <v>5</v>
      </c>
      <c r="C110" s="26" t="s">
        <v>10</v>
      </c>
      <c r="D110" s="26" t="s">
        <v>445</v>
      </c>
      <c r="E110" s="23" t="s">
        <v>238</v>
      </c>
      <c r="F110" s="26" t="s">
        <v>18</v>
      </c>
      <c r="G110" s="31">
        <v>17</v>
      </c>
      <c r="H110" s="29">
        <v>0.5</v>
      </c>
    </row>
    <row r="111" spans="1:8" x14ac:dyDescent="0.25">
      <c r="A111" s="25" t="s">
        <v>239</v>
      </c>
      <c r="B111" s="26" t="s">
        <v>5</v>
      </c>
      <c r="C111" s="26" t="s">
        <v>10</v>
      </c>
      <c r="D111" s="26" t="s">
        <v>445</v>
      </c>
      <c r="E111" s="23" t="s">
        <v>240</v>
      </c>
      <c r="F111" s="26" t="s">
        <v>18</v>
      </c>
      <c r="G111" s="31">
        <v>23</v>
      </c>
      <c r="H111" s="29">
        <v>0.5</v>
      </c>
    </row>
    <row r="112" spans="1:8" x14ac:dyDescent="0.25">
      <c r="A112" s="25" t="s">
        <v>241</v>
      </c>
      <c r="B112" s="26" t="s">
        <v>5</v>
      </c>
      <c r="C112" s="26" t="s">
        <v>10</v>
      </c>
      <c r="D112" s="26" t="s">
        <v>445</v>
      </c>
      <c r="E112" s="23" t="s">
        <v>242</v>
      </c>
      <c r="F112" s="26" t="s">
        <v>18</v>
      </c>
      <c r="G112" s="31">
        <v>27</v>
      </c>
      <c r="H112" s="29">
        <v>0.5</v>
      </c>
    </row>
    <row r="113" spans="1:8" x14ac:dyDescent="0.25">
      <c r="A113" s="25" t="s">
        <v>243</v>
      </c>
      <c r="B113" s="26" t="s">
        <v>5</v>
      </c>
      <c r="C113" s="26" t="s">
        <v>10</v>
      </c>
      <c r="D113" s="26" t="s">
        <v>445</v>
      </c>
      <c r="E113" s="23" t="s">
        <v>244</v>
      </c>
      <c r="F113" s="26" t="s">
        <v>18</v>
      </c>
      <c r="G113" s="31">
        <v>36</v>
      </c>
      <c r="H113" s="29">
        <v>0.5</v>
      </c>
    </row>
    <row r="114" spans="1:8" x14ac:dyDescent="0.25">
      <c r="A114" s="25" t="s">
        <v>245</v>
      </c>
      <c r="B114" s="26" t="s">
        <v>5</v>
      </c>
      <c r="C114" s="26" t="s">
        <v>10</v>
      </c>
      <c r="D114" s="26" t="s">
        <v>445</v>
      </c>
      <c r="E114" s="23" t="s">
        <v>246</v>
      </c>
      <c r="F114" s="26" t="s">
        <v>18</v>
      </c>
      <c r="G114" s="31">
        <v>45</v>
      </c>
      <c r="H114" s="29">
        <v>0.5</v>
      </c>
    </row>
    <row r="115" spans="1:8" x14ac:dyDescent="0.25">
      <c r="A115" s="25" t="s">
        <v>247</v>
      </c>
      <c r="B115" s="26" t="s">
        <v>5</v>
      </c>
      <c r="C115" s="26" t="s">
        <v>10</v>
      </c>
      <c r="D115" s="26" t="s">
        <v>445</v>
      </c>
      <c r="E115" s="23" t="s">
        <v>248</v>
      </c>
      <c r="F115" s="26" t="s">
        <v>18</v>
      </c>
      <c r="G115" s="31">
        <v>53</v>
      </c>
      <c r="H115" s="29">
        <v>0.5</v>
      </c>
    </row>
    <row r="116" spans="1:8" x14ac:dyDescent="0.25">
      <c r="A116" s="25" t="s">
        <v>249</v>
      </c>
      <c r="B116" s="26" t="s">
        <v>5</v>
      </c>
      <c r="C116" s="26" t="s">
        <v>13</v>
      </c>
      <c r="D116" s="26" t="s">
        <v>445</v>
      </c>
      <c r="E116" s="23" t="s">
        <v>250</v>
      </c>
      <c r="F116" s="26" t="s">
        <v>20</v>
      </c>
      <c r="G116" s="31">
        <v>2.5</v>
      </c>
      <c r="H116" s="29">
        <v>1</v>
      </c>
    </row>
    <row r="117" spans="1:8" x14ac:dyDescent="0.25">
      <c r="A117" s="25" t="s">
        <v>251</v>
      </c>
      <c r="B117" s="26" t="s">
        <v>5</v>
      </c>
      <c r="C117" s="26" t="s">
        <v>13</v>
      </c>
      <c r="D117" s="26" t="s">
        <v>445</v>
      </c>
      <c r="E117" s="23" t="s">
        <v>252</v>
      </c>
      <c r="F117" s="26" t="s">
        <v>20</v>
      </c>
      <c r="G117" s="31">
        <v>3.89</v>
      </c>
      <c r="H117" s="29">
        <v>1</v>
      </c>
    </row>
    <row r="118" spans="1:8" x14ac:dyDescent="0.25">
      <c r="A118" s="25" t="s">
        <v>253</v>
      </c>
      <c r="B118" s="26" t="s">
        <v>5</v>
      </c>
      <c r="C118" s="26" t="s">
        <v>13</v>
      </c>
      <c r="D118" s="26" t="s">
        <v>254</v>
      </c>
      <c r="E118" s="23" t="s">
        <v>255</v>
      </c>
      <c r="F118" s="26" t="s">
        <v>22</v>
      </c>
      <c r="G118" s="31">
        <v>1.44</v>
      </c>
      <c r="H118" s="29" t="s">
        <v>76</v>
      </c>
    </row>
    <row r="119" spans="1:8" x14ac:dyDescent="0.25">
      <c r="A119" s="25" t="s">
        <v>256</v>
      </c>
      <c r="B119" s="26" t="s">
        <v>5</v>
      </c>
      <c r="C119" s="26" t="s">
        <v>13</v>
      </c>
      <c r="D119" s="26" t="s">
        <v>254</v>
      </c>
      <c r="E119" s="23" t="s">
        <v>257</v>
      </c>
      <c r="F119" s="26" t="s">
        <v>22</v>
      </c>
      <c r="G119" s="31">
        <v>3.15</v>
      </c>
      <c r="H119" s="29" t="s">
        <v>76</v>
      </c>
    </row>
    <row r="120" spans="1:8" x14ac:dyDescent="0.25">
      <c r="A120" s="25" t="s">
        <v>258</v>
      </c>
      <c r="B120" s="26" t="s">
        <v>5</v>
      </c>
      <c r="C120" s="26" t="s">
        <v>13</v>
      </c>
      <c r="D120" s="26" t="s">
        <v>254</v>
      </c>
      <c r="E120" s="23" t="s">
        <v>259</v>
      </c>
      <c r="F120" s="26" t="s">
        <v>111</v>
      </c>
      <c r="G120" s="31">
        <v>3</v>
      </c>
      <c r="H120" s="29">
        <v>1.1000000000000001</v>
      </c>
    </row>
    <row r="121" spans="1:8" x14ac:dyDescent="0.25">
      <c r="A121" s="25" t="s">
        <v>260</v>
      </c>
      <c r="B121" s="26" t="s">
        <v>5</v>
      </c>
      <c r="C121" s="26" t="s">
        <v>13</v>
      </c>
      <c r="D121" s="26" t="s">
        <v>254</v>
      </c>
      <c r="E121" s="23" t="s">
        <v>261</v>
      </c>
      <c r="F121" s="26" t="s">
        <v>111</v>
      </c>
      <c r="G121" s="31">
        <v>37</v>
      </c>
      <c r="H121" s="29" t="s">
        <v>76</v>
      </c>
    </row>
    <row r="122" spans="1:8" x14ac:dyDescent="0.25">
      <c r="A122" s="25" t="s">
        <v>262</v>
      </c>
      <c r="B122" s="26" t="s">
        <v>5</v>
      </c>
      <c r="C122" s="26" t="s">
        <v>13</v>
      </c>
      <c r="D122" s="26" t="s">
        <v>254</v>
      </c>
      <c r="E122" s="23" t="s">
        <v>263</v>
      </c>
      <c r="F122" s="26" t="s">
        <v>20</v>
      </c>
      <c r="G122" s="31">
        <v>8.15</v>
      </c>
      <c r="H122" s="29">
        <v>1</v>
      </c>
    </row>
    <row r="123" spans="1:8" x14ac:dyDescent="0.25">
      <c r="A123" s="25" t="s">
        <v>264</v>
      </c>
      <c r="B123" s="26" t="s">
        <v>5</v>
      </c>
      <c r="C123" s="26" t="s">
        <v>13</v>
      </c>
      <c r="D123" s="26" t="s">
        <v>254</v>
      </c>
      <c r="E123" s="23" t="s">
        <v>265</v>
      </c>
      <c r="F123" s="26" t="s">
        <v>18</v>
      </c>
      <c r="G123" s="31">
        <v>2.5</v>
      </c>
      <c r="H123" s="29">
        <v>1</v>
      </c>
    </row>
    <row r="124" spans="1:8" x14ac:dyDescent="0.25">
      <c r="A124" s="25" t="s">
        <v>266</v>
      </c>
      <c r="B124" s="26" t="s">
        <v>5</v>
      </c>
      <c r="C124" s="26" t="s">
        <v>13</v>
      </c>
      <c r="D124" s="26" t="s">
        <v>254</v>
      </c>
      <c r="E124" s="23" t="s">
        <v>267</v>
      </c>
      <c r="F124" s="26" t="s">
        <v>24</v>
      </c>
      <c r="G124" s="31">
        <v>0.15</v>
      </c>
      <c r="H124" s="29">
        <v>1</v>
      </c>
    </row>
    <row r="125" spans="1:8" x14ac:dyDescent="0.25">
      <c r="A125" s="25" t="s">
        <v>268</v>
      </c>
      <c r="B125" s="26" t="s">
        <v>5</v>
      </c>
      <c r="C125" s="26" t="s">
        <v>13</v>
      </c>
      <c r="D125" s="26" t="s">
        <v>269</v>
      </c>
      <c r="E125" s="23" t="s">
        <v>270</v>
      </c>
      <c r="F125" s="26" t="s">
        <v>18</v>
      </c>
      <c r="G125" s="31">
        <v>1.5</v>
      </c>
      <c r="H125" s="29">
        <v>1</v>
      </c>
    </row>
    <row r="126" spans="1:8" x14ac:dyDescent="0.25">
      <c r="A126" s="25" t="s">
        <v>271</v>
      </c>
      <c r="B126" s="26" t="s">
        <v>5</v>
      </c>
      <c r="C126" s="26" t="s">
        <v>13</v>
      </c>
      <c r="D126" s="26" t="s">
        <v>269</v>
      </c>
      <c r="E126" s="23" t="s">
        <v>272</v>
      </c>
      <c r="F126" s="26" t="s">
        <v>18</v>
      </c>
      <c r="G126" s="31">
        <v>3.8</v>
      </c>
      <c r="H126" s="29">
        <v>1</v>
      </c>
    </row>
    <row r="127" spans="1:8" x14ac:dyDescent="0.25">
      <c r="A127" s="25" t="s">
        <v>273</v>
      </c>
      <c r="B127" s="26" t="s">
        <v>5</v>
      </c>
      <c r="C127" s="26" t="s">
        <v>13</v>
      </c>
      <c r="D127" s="26" t="s">
        <v>274</v>
      </c>
      <c r="E127" s="23" t="s">
        <v>275</v>
      </c>
      <c r="F127" s="26" t="s">
        <v>111</v>
      </c>
      <c r="G127" s="31">
        <v>5.3</v>
      </c>
      <c r="H127" s="29">
        <v>1.05</v>
      </c>
    </row>
    <row r="128" spans="1:8" x14ac:dyDescent="0.25">
      <c r="A128" s="25" t="s">
        <v>276</v>
      </c>
      <c r="B128" s="26" t="s">
        <v>5</v>
      </c>
      <c r="C128" s="26" t="s">
        <v>13</v>
      </c>
      <c r="D128" s="26" t="s">
        <v>274</v>
      </c>
      <c r="E128" s="23" t="s">
        <v>277</v>
      </c>
      <c r="F128" s="26" t="s">
        <v>111</v>
      </c>
      <c r="G128" s="31">
        <v>14.3</v>
      </c>
      <c r="H128" s="29">
        <v>1.05</v>
      </c>
    </row>
    <row r="129" spans="1:8" x14ac:dyDescent="0.25">
      <c r="A129" s="25" t="s">
        <v>278</v>
      </c>
      <c r="B129" s="26" t="s">
        <v>5</v>
      </c>
      <c r="C129" s="26" t="s">
        <v>13</v>
      </c>
      <c r="D129" s="26" t="s">
        <v>274</v>
      </c>
      <c r="E129" s="23" t="s">
        <v>279</v>
      </c>
      <c r="F129" s="26" t="s">
        <v>111</v>
      </c>
      <c r="G129" s="31">
        <v>11.49</v>
      </c>
      <c r="H129" s="29">
        <v>1.05</v>
      </c>
    </row>
    <row r="130" spans="1:8" x14ac:dyDescent="0.25">
      <c r="A130" s="25" t="s">
        <v>280</v>
      </c>
      <c r="B130" s="26" t="s">
        <v>5</v>
      </c>
      <c r="C130" s="26" t="s">
        <v>13</v>
      </c>
      <c r="D130" s="26" t="s">
        <v>274</v>
      </c>
      <c r="E130" s="23" t="s">
        <v>281</v>
      </c>
      <c r="F130" s="26" t="s">
        <v>111</v>
      </c>
      <c r="G130" s="31">
        <v>15.8</v>
      </c>
      <c r="H130" s="29">
        <v>1.05</v>
      </c>
    </row>
    <row r="131" spans="1:8" x14ac:dyDescent="0.25">
      <c r="A131" s="25" t="s">
        <v>282</v>
      </c>
      <c r="B131" s="26" t="s">
        <v>5</v>
      </c>
      <c r="C131" s="26" t="s">
        <v>13</v>
      </c>
      <c r="D131" s="26" t="s">
        <v>274</v>
      </c>
      <c r="E131" s="23" t="s">
        <v>283</v>
      </c>
      <c r="F131" s="26" t="s">
        <v>111</v>
      </c>
      <c r="G131" s="31">
        <v>17.600000000000001</v>
      </c>
      <c r="H131" s="29">
        <v>1.05</v>
      </c>
    </row>
    <row r="132" spans="1:8" x14ac:dyDescent="0.25">
      <c r="A132" s="25" t="s">
        <v>284</v>
      </c>
      <c r="B132" s="26" t="s">
        <v>5</v>
      </c>
      <c r="C132" s="26" t="s">
        <v>13</v>
      </c>
      <c r="D132" s="26" t="s">
        <v>285</v>
      </c>
      <c r="E132" s="23" t="s">
        <v>286</v>
      </c>
      <c r="F132" s="26" t="s">
        <v>20</v>
      </c>
      <c r="G132" s="31">
        <v>0.19</v>
      </c>
      <c r="H132" s="29">
        <v>1.02</v>
      </c>
    </row>
    <row r="133" spans="1:8" x14ac:dyDescent="0.25">
      <c r="A133" s="25" t="s">
        <v>287</v>
      </c>
      <c r="B133" s="26" t="s">
        <v>5</v>
      </c>
      <c r="C133" s="26" t="s">
        <v>13</v>
      </c>
      <c r="D133" s="26" t="s">
        <v>285</v>
      </c>
      <c r="E133" s="23" t="s">
        <v>288</v>
      </c>
      <c r="F133" s="26" t="s">
        <v>20</v>
      </c>
      <c r="G133" s="31">
        <v>0.26</v>
      </c>
      <c r="H133" s="29">
        <v>1.02</v>
      </c>
    </row>
    <row r="134" spans="1:8" x14ac:dyDescent="0.25">
      <c r="A134" s="25" t="s">
        <v>289</v>
      </c>
      <c r="B134" s="26" t="s">
        <v>5</v>
      </c>
      <c r="C134" s="26" t="s">
        <v>13</v>
      </c>
      <c r="D134" s="26" t="s">
        <v>285</v>
      </c>
      <c r="E134" s="23" t="s">
        <v>290</v>
      </c>
      <c r="F134" s="26" t="s">
        <v>20</v>
      </c>
      <c r="G134" s="31">
        <v>0.37</v>
      </c>
      <c r="H134" s="29">
        <v>1.02</v>
      </c>
    </row>
    <row r="135" spans="1:8" x14ac:dyDescent="0.25">
      <c r="A135" s="25" t="s">
        <v>291</v>
      </c>
      <c r="B135" s="26" t="s">
        <v>5</v>
      </c>
      <c r="C135" s="26" t="s">
        <v>13</v>
      </c>
      <c r="D135" s="26" t="s">
        <v>285</v>
      </c>
      <c r="E135" s="23" t="s">
        <v>292</v>
      </c>
      <c r="F135" s="26" t="s">
        <v>20</v>
      </c>
      <c r="G135" s="31">
        <v>0.12</v>
      </c>
      <c r="H135" s="29">
        <v>1.02</v>
      </c>
    </row>
    <row r="136" spans="1:8" x14ac:dyDescent="0.25">
      <c r="A136" s="25" t="s">
        <v>427</v>
      </c>
      <c r="B136" s="26" t="s">
        <v>5</v>
      </c>
      <c r="C136" s="26" t="s">
        <v>13</v>
      </c>
      <c r="D136" s="26" t="s">
        <v>285</v>
      </c>
      <c r="E136" s="23" t="s">
        <v>428</v>
      </c>
      <c r="F136" s="26" t="s">
        <v>20</v>
      </c>
      <c r="G136" s="31">
        <v>0.5</v>
      </c>
      <c r="H136" s="29">
        <v>1.05</v>
      </c>
    </row>
    <row r="137" spans="1:8" x14ac:dyDescent="0.25">
      <c r="A137" s="25" t="s">
        <v>333</v>
      </c>
      <c r="B137" s="26" t="s">
        <v>9</v>
      </c>
      <c r="C137" s="26" t="s">
        <v>10</v>
      </c>
      <c r="D137" s="26" t="s">
        <v>334</v>
      </c>
      <c r="E137" s="23" t="s">
        <v>415</v>
      </c>
      <c r="F137" s="26" t="s">
        <v>335</v>
      </c>
      <c r="G137" s="31">
        <v>23</v>
      </c>
      <c r="H137" s="29">
        <v>1</v>
      </c>
    </row>
    <row r="138" spans="1:8" x14ac:dyDescent="0.25">
      <c r="A138" s="25" t="s">
        <v>343</v>
      </c>
      <c r="B138" s="26" t="s">
        <v>9</v>
      </c>
      <c r="C138" s="26" t="s">
        <v>10</v>
      </c>
      <c r="D138" s="26" t="s">
        <v>334</v>
      </c>
      <c r="E138" s="23" t="s">
        <v>345</v>
      </c>
      <c r="F138" s="26" t="s">
        <v>344</v>
      </c>
      <c r="G138" s="31">
        <v>150</v>
      </c>
      <c r="H138" s="29">
        <v>1.1000000000000001</v>
      </c>
    </row>
    <row r="139" spans="1:8" x14ac:dyDescent="0.25">
      <c r="A139" s="25" t="s">
        <v>351</v>
      </c>
      <c r="B139" s="26" t="s">
        <v>9</v>
      </c>
      <c r="C139" s="26" t="s">
        <v>10</v>
      </c>
      <c r="D139" s="26" t="s">
        <v>334</v>
      </c>
      <c r="E139" s="23" t="s">
        <v>352</v>
      </c>
      <c r="F139" s="26" t="s">
        <v>335</v>
      </c>
      <c r="G139" s="31">
        <v>650</v>
      </c>
      <c r="H139" s="29">
        <v>1</v>
      </c>
    </row>
    <row r="140" spans="1:8" x14ac:dyDescent="0.25">
      <c r="A140" s="25" t="s">
        <v>387</v>
      </c>
      <c r="B140" s="26" t="s">
        <v>9</v>
      </c>
      <c r="C140" s="26" t="s">
        <v>10</v>
      </c>
      <c r="D140" s="26" t="s">
        <v>334</v>
      </c>
      <c r="E140" s="23" t="s">
        <v>388</v>
      </c>
      <c r="F140" s="26" t="s">
        <v>335</v>
      </c>
      <c r="G140" s="31">
        <v>235</v>
      </c>
      <c r="H140" s="29">
        <v>1</v>
      </c>
    </row>
    <row r="141" spans="1:8" x14ac:dyDescent="0.25">
      <c r="A141" s="25" t="s">
        <v>392</v>
      </c>
      <c r="B141" s="26" t="s">
        <v>9</v>
      </c>
      <c r="C141" s="26" t="s">
        <v>10</v>
      </c>
      <c r="D141" s="26" t="s">
        <v>334</v>
      </c>
      <c r="E141" s="23" t="s">
        <v>393</v>
      </c>
      <c r="F141" s="26" t="s">
        <v>335</v>
      </c>
      <c r="G141" s="31">
        <v>245</v>
      </c>
      <c r="H141" s="29">
        <v>1</v>
      </c>
    </row>
    <row r="142" spans="1:8" x14ac:dyDescent="0.25">
      <c r="A142" s="25" t="s">
        <v>413</v>
      </c>
      <c r="B142" s="26" t="s">
        <v>9</v>
      </c>
      <c r="C142" s="26" t="s">
        <v>10</v>
      </c>
      <c r="D142" s="26" t="s">
        <v>334</v>
      </c>
      <c r="E142" s="23" t="s">
        <v>414</v>
      </c>
      <c r="F142" s="26" t="s">
        <v>335</v>
      </c>
      <c r="G142" s="31">
        <v>125</v>
      </c>
      <c r="H142" s="29">
        <v>1</v>
      </c>
    </row>
    <row r="143" spans="1:8" x14ac:dyDescent="0.25">
      <c r="A143" s="25" t="s">
        <v>446</v>
      </c>
      <c r="B143" s="26" t="s">
        <v>9</v>
      </c>
      <c r="C143" s="26" t="s">
        <v>10</v>
      </c>
      <c r="D143" s="26" t="s">
        <v>334</v>
      </c>
      <c r="E143" s="23" t="s">
        <v>447</v>
      </c>
      <c r="F143" s="26" t="s">
        <v>20</v>
      </c>
      <c r="G143" s="31">
        <v>18</v>
      </c>
      <c r="H143" s="29">
        <v>1</v>
      </c>
    </row>
    <row r="144" spans="1:8" x14ac:dyDescent="0.25">
      <c r="A144" s="25" t="s">
        <v>518</v>
      </c>
      <c r="B144" s="26" t="s">
        <v>9</v>
      </c>
      <c r="C144" s="26" t="s">
        <v>10</v>
      </c>
      <c r="D144" s="26" t="s">
        <v>334</v>
      </c>
      <c r="E144" s="23" t="s">
        <v>519</v>
      </c>
      <c r="F144" s="26" t="s">
        <v>24</v>
      </c>
      <c r="G144" s="31">
        <v>90</v>
      </c>
      <c r="H144" s="29">
        <v>1</v>
      </c>
    </row>
    <row r="145" spans="1:8" x14ac:dyDescent="0.25">
      <c r="A145" s="25" t="s">
        <v>371</v>
      </c>
      <c r="B145" s="26" t="s">
        <v>5</v>
      </c>
      <c r="C145" s="26" t="s">
        <v>13</v>
      </c>
      <c r="D145" s="26" t="s">
        <v>16</v>
      </c>
      <c r="E145" s="23" t="s">
        <v>370</v>
      </c>
      <c r="F145" s="26" t="s">
        <v>25</v>
      </c>
      <c r="G145" s="31">
        <v>2</v>
      </c>
      <c r="H145" s="29">
        <v>1</v>
      </c>
    </row>
    <row r="146" spans="1:8" x14ac:dyDescent="0.25">
      <c r="A146" s="25" t="s">
        <v>396</v>
      </c>
      <c r="B146" s="26" t="s">
        <v>5</v>
      </c>
      <c r="C146" s="26" t="s">
        <v>13</v>
      </c>
      <c r="D146" s="26" t="s">
        <v>16</v>
      </c>
      <c r="E146" s="23" t="s">
        <v>397</v>
      </c>
      <c r="F146" s="26" t="s">
        <v>18</v>
      </c>
      <c r="G146" s="31">
        <v>0.8</v>
      </c>
      <c r="H146" s="29">
        <v>1</v>
      </c>
    </row>
    <row r="147" spans="1:8" x14ac:dyDescent="0.25">
      <c r="A147" s="25" t="s">
        <v>425</v>
      </c>
      <c r="B147" s="26" t="s">
        <v>5</v>
      </c>
      <c r="C147" s="26" t="s">
        <v>13</v>
      </c>
      <c r="D147" s="26" t="s">
        <v>16</v>
      </c>
      <c r="E147" s="23" t="s">
        <v>426</v>
      </c>
      <c r="F147" s="26" t="s">
        <v>18</v>
      </c>
      <c r="G147" s="31">
        <v>1.05</v>
      </c>
      <c r="H147" s="29">
        <v>1</v>
      </c>
    </row>
    <row r="148" spans="1:8" x14ac:dyDescent="0.25">
      <c r="A148" s="25" t="s">
        <v>443</v>
      </c>
      <c r="B148" s="26" t="s">
        <v>5</v>
      </c>
      <c r="C148" s="26" t="s">
        <v>13</v>
      </c>
      <c r="D148" s="26" t="s">
        <v>16</v>
      </c>
      <c r="E148" s="23" t="s">
        <v>444</v>
      </c>
      <c r="F148" s="26" t="s">
        <v>25</v>
      </c>
      <c r="G148" s="31">
        <v>5</v>
      </c>
      <c r="H148" s="29">
        <v>1</v>
      </c>
    </row>
  </sheetData>
  <autoFilter ref="A1:J148"/>
  <dataValidations disablePrompts="1" count="36">
    <dataValidation type="list" allowBlank="1" showInputMessage="1" showErrorMessage="1" sqref="D4:D22">
      <formula1>$H:$H</formula1>
    </dataValidation>
    <dataValidation type="list" allowBlank="1" showInputMessage="1" showErrorMessage="1" sqref="D23:D27">
      <formula1>$H:$H</formula1>
    </dataValidation>
    <dataValidation type="list" allowBlank="1" showInputMessage="1" showErrorMessage="1" sqref="D28:D41">
      <formula1>$H:$H</formula1>
    </dataValidation>
    <dataValidation type="list" allowBlank="1" showInputMessage="1" showErrorMessage="1" sqref="D42:D50">
      <formula1>$H:$H</formula1>
    </dataValidation>
    <dataValidation type="list" allowBlank="1" showInputMessage="1" showErrorMessage="1" sqref="D51:D70">
      <formula1>$H:$H</formula1>
    </dataValidation>
    <dataValidation type="list" allowBlank="1" showInputMessage="1" showErrorMessage="1" sqref="D71:D75">
      <formula1>$H:$H</formula1>
    </dataValidation>
    <dataValidation type="list" allowBlank="1" showInputMessage="1" showErrorMessage="1" sqref="D76:D77">
      <formula1>$H:$H</formula1>
    </dataValidation>
    <dataValidation type="list" allowBlank="1" showInputMessage="1" showErrorMessage="1" sqref="D78:D86">
      <formula1>$H:$H</formula1>
    </dataValidation>
    <dataValidation type="list" allowBlank="1" showInputMessage="1" showErrorMessage="1" sqref="D87:D94">
      <formula1>$H:$H</formula1>
    </dataValidation>
    <dataValidation type="list" allowBlank="1" showInputMessage="1" showErrorMessage="1" sqref="D95:D98">
      <formula1>$H:$H</formula1>
    </dataValidation>
    <dataValidation type="list" allowBlank="1" showInputMessage="1" showErrorMessage="1" sqref="D99:D101">
      <formula1>$H:$H</formula1>
    </dataValidation>
    <dataValidation type="list" allowBlank="1" showInputMessage="1" showErrorMessage="1" sqref="D102:D117">
      <formula1>$H:$H</formula1>
    </dataValidation>
    <dataValidation type="list" allowBlank="1" showInputMessage="1" showErrorMessage="1" sqref="D118:D124">
      <formula1>$H:$H</formula1>
    </dataValidation>
    <dataValidation type="list" allowBlank="1" showInputMessage="1" showErrorMessage="1" sqref="D125:D126">
      <formula1>$H:$H</formula1>
    </dataValidation>
    <dataValidation type="list" allowBlank="1" showInputMessage="1" showErrorMessage="1" sqref="D127:D131">
      <formula1>$H:$H</formula1>
    </dataValidation>
    <dataValidation type="list" allowBlank="1" showInputMessage="1" showErrorMessage="1" sqref="D132:D136">
      <formula1>$H:$H</formula1>
    </dataValidation>
    <dataValidation type="list" allowBlank="1" showInputMessage="1" showErrorMessage="1" sqref="D137:D144">
      <formula1>$H:$H</formula1>
    </dataValidation>
    <dataValidation type="list" allowBlank="1" showInputMessage="1" showErrorMessage="1" sqref="D145:D148">
      <formula1>$H:$H</formula1>
    </dataValidation>
    <dataValidation type="list" allowBlank="1" showInputMessage="1" showErrorMessage="1" sqref="C145:C148">
      <formula1>$D:$D</formula1>
    </dataValidation>
    <dataValidation type="list" allowBlank="1" showInputMessage="1" showErrorMessage="1" sqref="C137:C144">
      <formula1>$D:$D</formula1>
    </dataValidation>
    <dataValidation type="list" allowBlank="1" showInputMessage="1" showErrorMessage="1" sqref="C132:C136">
      <formula1>$D:$D</formula1>
    </dataValidation>
    <dataValidation type="list" allowBlank="1" showInputMessage="1" showErrorMessage="1" sqref="C127:C131">
      <formula1>$D:$D</formula1>
    </dataValidation>
    <dataValidation type="list" allowBlank="1" showInputMessage="1" showErrorMessage="1" sqref="C125:C126">
      <formula1>$D:$D</formula1>
    </dataValidation>
    <dataValidation type="list" allowBlank="1" showInputMessage="1" showErrorMessage="1" sqref="C118:C124">
      <formula1>$D:$D</formula1>
    </dataValidation>
    <dataValidation type="list" allowBlank="1" showInputMessage="1" showErrorMessage="1" sqref="C102:C117">
      <formula1>$D:$D</formula1>
    </dataValidation>
    <dataValidation type="list" allowBlank="1" showInputMessage="1" showErrorMessage="1" sqref="C99:C101">
      <formula1>$D:$D</formula1>
    </dataValidation>
    <dataValidation type="list" allowBlank="1" showInputMessage="1" showErrorMessage="1" sqref="C95:C98">
      <formula1>$D:$D</formula1>
    </dataValidation>
    <dataValidation type="list" allowBlank="1" showInputMessage="1" showErrorMessage="1" sqref="C87:C94">
      <formula1>$D:$D</formula1>
    </dataValidation>
    <dataValidation type="list" allowBlank="1" showInputMessage="1" showErrorMessage="1" sqref="C78:C86">
      <formula1>$D:$D</formula1>
    </dataValidation>
    <dataValidation type="list" allowBlank="1" showInputMessage="1" showErrorMessage="1" sqref="C76:C77">
      <formula1>$D:$D</formula1>
    </dataValidation>
    <dataValidation type="list" allowBlank="1" showInputMessage="1" showErrorMessage="1" sqref="C71:C75">
      <formula1>$D:$D</formula1>
    </dataValidation>
    <dataValidation type="list" allowBlank="1" showInputMessage="1" showErrorMessage="1" sqref="C51:C70">
      <formula1>$D:$D</formula1>
    </dataValidation>
    <dataValidation type="list" allowBlank="1" showInputMessage="1" showErrorMessage="1" sqref="C42:C50">
      <formula1>$D:$D</formula1>
    </dataValidation>
    <dataValidation type="list" allowBlank="1" showInputMessage="1" showErrorMessage="1" sqref="C28:C41">
      <formula1>$D:$D</formula1>
    </dataValidation>
    <dataValidation type="list" allowBlank="1" showInputMessage="1" showErrorMessage="1" sqref="C23:C27">
      <formula1>$D:$D</formula1>
    </dataValidation>
    <dataValidation type="list" allowBlank="1" showInputMessage="1" showErrorMessage="1" sqref="C4:C22">
      <formula1>$D:$D</formula1>
    </dataValidation>
  </dataValidations>
  <pageMargins left="0.78740157499999996" right="0.78740157499999996" top="0.984251969" bottom="0.984251969" header="0.3" footer="0.3"/>
  <pageSetup paperSize="9" orientation="portrait" horizontalDpi="1200" verticalDpi="12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>
          <x14:formula1>
            <xm:f>'Paramètrage ressources'!$G:$G</xm:f>
          </x14:formula1>
          <xm:sqref>D2:D3</xm:sqref>
        </x14:dataValidation>
        <x14:dataValidation type="list" allowBlank="1" showInputMessage="1" showErrorMessage="1">
          <x14:formula1>
            <xm:f>'Paramètrage ressources'!$C:$C</xm:f>
          </x14:formula1>
          <xm:sqref>C2:C3</xm:sqref>
        </x14:dataValidation>
        <x14:dataValidation type="list" allowBlank="1" showInputMessage="1" showErrorMessage="1">
          <x14:formula1>
            <xm:f>'Paramètrage ressources'!$A:$A</xm:f>
          </x14:formula1>
          <xm:sqref>B2:B148</xm:sqref>
        </x14:dataValidation>
        <x14:dataValidation type="list" allowBlank="1" showInputMessage="1" showErrorMessage="1">
          <x14:formula1>
            <xm:f>'Paramètrage ressources'!$E:$E</xm:f>
          </x14:formula1>
          <xm:sqref>I2:I148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11"/>
  <sheetViews>
    <sheetView zoomScaleNormal="100" workbookViewId="0">
      <selection activeCell="D2" sqref="D2"/>
    </sheetView>
  </sheetViews>
  <sheetFormatPr baseColWidth="10" defaultColWidth="9" defaultRowHeight="15.75" x14ac:dyDescent="0.25"/>
  <cols>
    <col min="1" max="1" width="15.625" style="40" customWidth="1"/>
    <col min="2" max="2" width="14.125" style="23" customWidth="1"/>
    <col min="3" max="3" width="50.125" style="23" customWidth="1"/>
    <col min="4" max="4" width="7.875" style="26" customWidth="1"/>
    <col min="5" max="5" width="11.5" style="26" customWidth="1"/>
    <col min="6" max="6" width="12.875" style="26" customWidth="1"/>
    <col min="7" max="7" width="12.875" style="38" customWidth="1"/>
    <col min="8" max="8" width="13.875" style="38" customWidth="1"/>
    <col min="9" max="9" width="37.875" style="38" customWidth="1"/>
    <col min="10" max="241" width="11" customWidth="1"/>
  </cols>
  <sheetData>
    <row r="1" spans="1:9" s="9" customFormat="1" ht="51" customHeight="1" thickBot="1" x14ac:dyDescent="0.3">
      <c r="A1" s="63" t="s">
        <v>293</v>
      </c>
      <c r="B1" s="63" t="s">
        <v>294</v>
      </c>
      <c r="C1" s="64" t="s">
        <v>29</v>
      </c>
      <c r="D1" s="64" t="s">
        <v>344</v>
      </c>
      <c r="E1" s="64" t="s">
        <v>528</v>
      </c>
      <c r="F1" s="63" t="s">
        <v>529</v>
      </c>
      <c r="G1" s="65" t="s">
        <v>530</v>
      </c>
      <c r="H1" s="66" t="s">
        <v>531</v>
      </c>
      <c r="I1" s="66" t="s">
        <v>532</v>
      </c>
    </row>
    <row r="2" spans="1:9" s="43" customFormat="1" ht="16.5" thickBot="1" x14ac:dyDescent="0.3">
      <c r="A2" s="39" t="s">
        <v>330</v>
      </c>
      <c r="B2" s="39"/>
      <c r="C2" s="39" t="s">
        <v>331</v>
      </c>
      <c r="D2" s="41" t="s">
        <v>24</v>
      </c>
      <c r="E2" s="41"/>
      <c r="F2" s="41"/>
      <c r="G2" s="42">
        <f>SUM(H3:H4)</f>
        <v>1.6363000000000001</v>
      </c>
      <c r="H2" s="42"/>
      <c r="I2" s="42"/>
    </row>
    <row r="3" spans="1:9" x14ac:dyDescent="0.25">
      <c r="B3" s="23" t="s">
        <v>33</v>
      </c>
      <c r="C3" s="23" t="str">
        <f>IF(B3="","",VLOOKUP(B3,Ressources!A:E,5,0))</f>
        <v xml:space="preserve">Main d'œuvre ouvrier qualifié </v>
      </c>
      <c r="D3" s="26" t="str">
        <f>IF(B3="","",VLOOKUP(B3,Ressources!A:F,6,0))</f>
        <v>h</v>
      </c>
      <c r="E3" s="26">
        <v>0.05</v>
      </c>
      <c r="F3" s="26">
        <f>IF(B3="","",VLOOKUP(B3,Ressources!A:H,8,0)*E3)</f>
        <v>0.05</v>
      </c>
      <c r="G3" s="38">
        <f>IF(B3="","",VLOOKUP(B3,Ressources!A:H,7,0))</f>
        <v>32</v>
      </c>
      <c r="H3" s="38">
        <f>IF(B3="","",F3*G3)</f>
        <v>1.6</v>
      </c>
    </row>
    <row r="4" spans="1:9" x14ac:dyDescent="0.25">
      <c r="B4" s="23" t="s">
        <v>109</v>
      </c>
      <c r="C4" s="23" t="str">
        <f>IF(B4="","",VLOOKUP(B4,Ressources!A:E,5,0))</f>
        <v>Résine de scellement</v>
      </c>
      <c r="D4" s="26" t="str">
        <f>IF(B4="","",VLOOKUP(B4,Ressources!A:F,6,0))</f>
        <v>l</v>
      </c>
      <c r="E4" s="26">
        <v>0.01</v>
      </c>
      <c r="F4" s="26">
        <f>IF(B4="","",VLOOKUP(B4,Ressources!A:H,8,0)*E4)</f>
        <v>1.1000000000000001E-2</v>
      </c>
      <c r="G4" s="38">
        <f>IF(B4="","",VLOOKUP(B4,Ressources!A:H,7,0))</f>
        <v>3.3</v>
      </c>
      <c r="H4" s="38">
        <f>IF(B4="","",F4*G4)</f>
        <v>3.6299999999999999E-2</v>
      </c>
    </row>
    <row r="5" spans="1:9" ht="16.5" thickBot="1" x14ac:dyDescent="0.3"/>
    <row r="6" spans="1:9" s="43" customFormat="1" ht="16.5" thickBot="1" x14ac:dyDescent="0.3">
      <c r="A6" s="39" t="s">
        <v>336</v>
      </c>
      <c r="B6" s="39"/>
      <c r="C6" s="39" t="s">
        <v>332</v>
      </c>
      <c r="D6" s="41" t="s">
        <v>24</v>
      </c>
      <c r="E6" s="41"/>
      <c r="F6" s="41" t="str">
        <f>IF(B6="","",VLOOKUP(B6,Ressources!A:H,8,0)*E6)</f>
        <v/>
      </c>
      <c r="G6" s="42">
        <f>SUM(H7:H8)</f>
        <v>67.5</v>
      </c>
      <c r="H6" s="42" t="str">
        <f>IF(B6="","",F6*G6)</f>
        <v/>
      </c>
      <c r="I6" s="42"/>
    </row>
    <row r="7" spans="1:9" x14ac:dyDescent="0.25">
      <c r="B7" s="23" t="s">
        <v>35</v>
      </c>
      <c r="C7" s="23" t="str">
        <f>IF(B7="","",VLOOKUP(B7,Ressources!A:E,5,0))</f>
        <v>Main d'œuvre Manœuvre</v>
      </c>
      <c r="D7" s="26" t="str">
        <f>IF(B7="","",VLOOKUP(B7,Ressources!A:F,6,0))</f>
        <v>h</v>
      </c>
      <c r="E7" s="26">
        <v>2</v>
      </c>
      <c r="F7" s="26">
        <f>IF(B7="","",VLOOKUP(B7,Ressources!A:H,8,0)*E7)</f>
        <v>2</v>
      </c>
      <c r="G7" s="38">
        <f>IF(B7="","",VLOOKUP(B7,Ressources!A:G,7,0))</f>
        <v>28</v>
      </c>
      <c r="H7" s="38">
        <f>IF(B7="","",F7*G7)</f>
        <v>56</v>
      </c>
    </row>
    <row r="8" spans="1:9" x14ac:dyDescent="0.25">
      <c r="B8" s="23" t="s">
        <v>333</v>
      </c>
      <c r="C8" s="23" t="str">
        <f>IF(B8="","",VLOOKUP(B8,Ressources!A:E,5,0))</f>
        <v xml:space="preserve">Location tronçoneuse </v>
      </c>
      <c r="D8" s="26" t="str">
        <f>IF(B8="","",VLOOKUP(B8,Ressources!A:F,6,0))</f>
        <v>J</v>
      </c>
      <c r="E8" s="26">
        <v>0.5</v>
      </c>
      <c r="F8" s="26">
        <f>IF(B8="","",VLOOKUP(B8,Ressources!A:H,8,0)*E8)</f>
        <v>0.5</v>
      </c>
      <c r="G8" s="38">
        <f>IF(B8="","",VLOOKUP(B8,Ressources!A:G,7,0))</f>
        <v>23</v>
      </c>
      <c r="H8" s="38">
        <f>IF(B8="","",F8*G8)</f>
        <v>11.5</v>
      </c>
    </row>
    <row r="9" spans="1:9" ht="16.5" thickBot="1" x14ac:dyDescent="0.3">
      <c r="C9" s="23" t="str">
        <f>IF(B9="","",VLOOKUP(B9,Ressources!A:E,5,0))</f>
        <v/>
      </c>
      <c r="D9" s="26" t="str">
        <f>IF(B9="","",VLOOKUP(B9,Ressources!A:F,6,0))</f>
        <v/>
      </c>
      <c r="F9" s="26" t="str">
        <f>IF(B9="","",VLOOKUP(B9,Ressources!A:H,8,0)*E9)</f>
        <v/>
      </c>
      <c r="G9" s="38" t="str">
        <f>IF(B9="","",VLOOKUP(B9,Ressources!A:G,7,0))</f>
        <v/>
      </c>
      <c r="H9" s="38" t="str">
        <f t="shared" ref="H9:H51" si="0">IF(B9="","",E9*G9)</f>
        <v/>
      </c>
    </row>
    <row r="10" spans="1:9" s="43" customFormat="1" ht="16.5" thickBot="1" x14ac:dyDescent="0.3">
      <c r="A10" s="39" t="s">
        <v>337</v>
      </c>
      <c r="B10" s="39"/>
      <c r="C10" s="39" t="s">
        <v>338</v>
      </c>
      <c r="D10" s="41" t="s">
        <v>24</v>
      </c>
      <c r="E10" s="41"/>
      <c r="F10" s="41" t="str">
        <f>IF(B10="","",VLOOKUP(B10,Ressources!A:H,8,0)*E10)</f>
        <v/>
      </c>
      <c r="G10" s="42">
        <f>SUM(H11:H12)</f>
        <v>135</v>
      </c>
      <c r="H10" s="42" t="str">
        <f>IF(B10="","",F10*G10)</f>
        <v/>
      </c>
      <c r="I10" s="42"/>
    </row>
    <row r="11" spans="1:9" x14ac:dyDescent="0.25">
      <c r="B11" s="23" t="s">
        <v>35</v>
      </c>
      <c r="C11" s="23" t="str">
        <f>IF(B11="","",VLOOKUP(B11,Ressources!A:E,5,0))</f>
        <v>Main d'œuvre Manœuvre</v>
      </c>
      <c r="D11" s="26" t="str">
        <f>IF(B11="","",VLOOKUP(B11,Ressources!A:F,6,0))</f>
        <v>h</v>
      </c>
      <c r="E11" s="26">
        <v>4</v>
      </c>
      <c r="F11" s="26">
        <f>IF(B11="","",VLOOKUP(B11,Ressources!A:H,8,0)*E11)</f>
        <v>4</v>
      </c>
      <c r="G11" s="38">
        <f>IF(B11="","",VLOOKUP(B11,Ressources!A:G,7,0))</f>
        <v>28</v>
      </c>
      <c r="H11" s="38">
        <f>IF(B11="","",F11*G11)</f>
        <v>112</v>
      </c>
    </row>
    <row r="12" spans="1:9" x14ac:dyDescent="0.25">
      <c r="B12" s="23" t="s">
        <v>333</v>
      </c>
      <c r="C12" s="23" t="str">
        <f>IF(B12="","",VLOOKUP(B12,Ressources!A:E,5,0))</f>
        <v xml:space="preserve">Location tronçoneuse </v>
      </c>
      <c r="D12" s="26" t="str">
        <f>IF(B12="","",VLOOKUP(B12,Ressources!A:F,6,0))</f>
        <v>J</v>
      </c>
      <c r="E12" s="26">
        <v>1</v>
      </c>
      <c r="F12" s="26">
        <f>IF(B12="","",VLOOKUP(B12,Ressources!A:H,8,0)*E12)</f>
        <v>1</v>
      </c>
      <c r="G12" s="38">
        <f>IF(B12="","",VLOOKUP(B12,Ressources!A:G,7,0))</f>
        <v>23</v>
      </c>
      <c r="H12" s="38">
        <f>IF(B12="","",F12*G12)</f>
        <v>23</v>
      </c>
    </row>
    <row r="13" spans="1:9" ht="16.5" thickBot="1" x14ac:dyDescent="0.3">
      <c r="C13" s="23" t="str">
        <f>IF(B13="","",VLOOKUP(B13,Ressources!A:E,5,0))</f>
        <v/>
      </c>
      <c r="D13" s="26" t="str">
        <f>IF(B13="","",VLOOKUP(B13,Ressources!A:F,6,0))</f>
        <v/>
      </c>
      <c r="F13" s="26" t="str">
        <f>IF(B13="","",VLOOKUP(B13,Ressources!A:H,8,0)*E13)</f>
        <v/>
      </c>
      <c r="G13" s="38" t="str">
        <f>IF(B13="","",VLOOKUP(B13,Ressources!A:G,7,0))</f>
        <v/>
      </c>
      <c r="H13" s="38" t="str">
        <f t="shared" si="0"/>
        <v/>
      </c>
    </row>
    <row r="14" spans="1:9" s="43" customFormat="1" ht="16.5" thickBot="1" x14ac:dyDescent="0.3">
      <c r="A14" s="39" t="s">
        <v>339</v>
      </c>
      <c r="B14" s="39"/>
      <c r="C14" s="39" t="s">
        <v>340</v>
      </c>
      <c r="D14" s="41" t="s">
        <v>348</v>
      </c>
      <c r="E14" s="41"/>
      <c r="F14" s="41" t="str">
        <f>IF(B14="","",VLOOKUP(B14,Ressources!A:H,8,0)*E14)</f>
        <v/>
      </c>
      <c r="G14" s="42">
        <f>SUM(H15)</f>
        <v>448</v>
      </c>
      <c r="H14" s="42" t="str">
        <f t="shared" si="0"/>
        <v/>
      </c>
      <c r="I14" s="42"/>
    </row>
    <row r="15" spans="1:9" x14ac:dyDescent="0.25">
      <c r="B15" s="23" t="s">
        <v>35</v>
      </c>
      <c r="C15" s="23" t="str">
        <f>IF(B15="","",VLOOKUP(B15,Ressources!A:E,5,0))</f>
        <v>Main d'œuvre Manœuvre</v>
      </c>
      <c r="D15" s="26" t="str">
        <f>IF(B15="","",VLOOKUP(B15,Ressources!A:F,6,0))</f>
        <v>h</v>
      </c>
      <c r="E15" s="26">
        <v>16</v>
      </c>
      <c r="F15" s="26">
        <f>IF(B15="","",VLOOKUP(B15,Ressources!A:H,8,0)*E15)</f>
        <v>16</v>
      </c>
      <c r="G15" s="38">
        <f>IF(B15="","",VLOOKUP(B15,Ressources!A:G,7,0))</f>
        <v>28</v>
      </c>
      <c r="H15" s="38">
        <f>IF(B15="","",F15*G15)</f>
        <v>448</v>
      </c>
    </row>
    <row r="16" spans="1:9" ht="16.5" thickBot="1" x14ac:dyDescent="0.3">
      <c r="C16" s="23" t="str">
        <f>IF(B16="","",VLOOKUP(B16,Ressources!A:E,5,0))</f>
        <v/>
      </c>
      <c r="D16" s="26" t="str">
        <f>IF(B16="","",VLOOKUP(B16,Ressources!A:F,6,0))</f>
        <v/>
      </c>
      <c r="F16" s="26" t="str">
        <f>IF(B16="","",VLOOKUP(B16,Ressources!A:H,8,0)*E16)</f>
        <v/>
      </c>
      <c r="G16" s="38" t="str">
        <f>IF(B16="","",VLOOKUP(B16,Ressources!A:G,7,0))</f>
        <v/>
      </c>
      <c r="H16" s="38" t="str">
        <f t="shared" si="0"/>
        <v/>
      </c>
    </row>
    <row r="17" spans="1:9" s="43" customFormat="1" ht="16.5" thickBot="1" x14ac:dyDescent="0.3">
      <c r="A17" s="39" t="s">
        <v>341</v>
      </c>
      <c r="B17" s="39"/>
      <c r="C17" s="39" t="s">
        <v>342</v>
      </c>
      <c r="D17" s="41" t="s">
        <v>20</v>
      </c>
      <c r="E17" s="41"/>
      <c r="F17" s="41" t="str">
        <f>IF(B17="","",VLOOKUP(B17,Ressources!A:H,8,0)*E17)</f>
        <v/>
      </c>
      <c r="G17" s="42">
        <f>SUM(H18:H19)</f>
        <v>8.0750000000000011</v>
      </c>
      <c r="H17" s="42" t="str">
        <f t="shared" si="0"/>
        <v/>
      </c>
      <c r="I17" s="42"/>
    </row>
    <row r="18" spans="1:9" x14ac:dyDescent="0.25">
      <c r="B18" s="23" t="s">
        <v>35</v>
      </c>
      <c r="C18" s="23" t="str">
        <f>IF(B18="","",VLOOKUP(B18,Ressources!A:E,5,0))</f>
        <v>Main d'œuvre Manœuvre</v>
      </c>
      <c r="D18" s="26" t="str">
        <f>IF(B18="","",VLOOKUP(B18,Ressources!A:F,6,0))</f>
        <v>h</v>
      </c>
      <c r="E18" s="26">
        <v>0.2</v>
      </c>
      <c r="F18" s="26">
        <f>IF(B18="","",VLOOKUP(B18,Ressources!A:H,8,0)*E18)</f>
        <v>0.2</v>
      </c>
      <c r="G18" s="38">
        <f>IF(B18="","",VLOOKUP(B18,Ressources!A:G,7,0))</f>
        <v>28</v>
      </c>
      <c r="H18" s="38">
        <f>IF(B18="","",F18*G18)</f>
        <v>5.6000000000000005</v>
      </c>
    </row>
    <row r="19" spans="1:9" x14ac:dyDescent="0.25">
      <c r="B19" s="23" t="s">
        <v>343</v>
      </c>
      <c r="C19" s="23" t="str">
        <f>IF(B19="","",VLOOKUP(B19,Ressources!A:E,5,0))</f>
        <v xml:space="preserve">Location de bennes 6m3 y compris evacuation </v>
      </c>
      <c r="D19" s="26" t="str">
        <f>IF(B19="","",VLOOKUP(B19,Ressources!A:F,6,0))</f>
        <v>U</v>
      </c>
      <c r="E19" s="26">
        <v>1.4999999999999999E-2</v>
      </c>
      <c r="F19" s="26">
        <f>IF(B19="","",VLOOKUP(B19,Ressources!A:H,8,0)*E19)</f>
        <v>1.6500000000000001E-2</v>
      </c>
      <c r="G19" s="38">
        <f>IF(B19="","",VLOOKUP(B19,Ressources!A:G,7,0))</f>
        <v>150</v>
      </c>
      <c r="H19" s="38">
        <f>IF(B19="","",F19*G19)</f>
        <v>2.4750000000000001</v>
      </c>
    </row>
    <row r="20" spans="1:9" ht="16.5" thickBot="1" x14ac:dyDescent="0.3">
      <c r="C20" s="23" t="str">
        <f>IF(B20="","",VLOOKUP(B20,Ressources!A:E,5,0))</f>
        <v/>
      </c>
      <c r="D20" s="26" t="str">
        <f>IF(B20="","",VLOOKUP(B20,Ressources!A:F,6,0))</f>
        <v/>
      </c>
      <c r="F20" s="26" t="str">
        <f>IF(B20="","",VLOOKUP(B20,Ressources!A:H,8,0)*E20)</f>
        <v/>
      </c>
      <c r="G20" s="38" t="str">
        <f>IF(B20="","",VLOOKUP(B20,Ressources!A:G,7,0))</f>
        <v/>
      </c>
      <c r="H20" s="38" t="str">
        <f t="shared" si="0"/>
        <v/>
      </c>
    </row>
    <row r="21" spans="1:9" s="43" customFormat="1" ht="16.5" thickBot="1" x14ac:dyDescent="0.3">
      <c r="A21" s="39" t="s">
        <v>346</v>
      </c>
      <c r="B21" s="39"/>
      <c r="C21" s="39" t="s">
        <v>347</v>
      </c>
      <c r="D21" s="41" t="s">
        <v>21</v>
      </c>
      <c r="E21" s="41"/>
      <c r="F21" s="41" t="str">
        <f>IF(B21="","",VLOOKUP(B21,Ressources!A:H,8,0)*E21)</f>
        <v/>
      </c>
      <c r="G21" s="42">
        <f>SUM(H22:H23)</f>
        <v>235</v>
      </c>
      <c r="H21" s="42" t="str">
        <f t="shared" si="0"/>
        <v/>
      </c>
      <c r="I21" s="42"/>
    </row>
    <row r="22" spans="1:9" x14ac:dyDescent="0.25">
      <c r="B22" s="23" t="s">
        <v>35</v>
      </c>
      <c r="C22" s="23" t="str">
        <f>IF(B22="","",VLOOKUP(B22,Ressources!A:E,5,0))</f>
        <v>Main d'œuvre Manœuvre</v>
      </c>
      <c r="D22" s="26" t="str">
        <f>IF(B22="","",VLOOKUP(B22,Ressources!A:F,6,0))</f>
        <v>h</v>
      </c>
      <c r="E22" s="26">
        <v>2.5</v>
      </c>
      <c r="F22" s="26">
        <f>IF(B22="","",VLOOKUP(B22,Ressources!A:H,8,0)*E22)</f>
        <v>2.5</v>
      </c>
      <c r="G22" s="38">
        <f>IF(B22="","",VLOOKUP(B22,Ressources!A:G,7,0))</f>
        <v>28</v>
      </c>
      <c r="H22" s="38">
        <f>IF(B22="","",F22*G22)</f>
        <v>70</v>
      </c>
    </row>
    <row r="23" spans="1:9" x14ac:dyDescent="0.25">
      <c r="B23" s="23" t="s">
        <v>343</v>
      </c>
      <c r="C23" s="23" t="str">
        <f>IF(B23="","",VLOOKUP(B23,Ressources!A:E,5,0))</f>
        <v xml:space="preserve">Location de bennes 6m3 y compris evacuation </v>
      </c>
      <c r="D23" s="26" t="str">
        <f>IF(B23="","",VLOOKUP(B23,Ressources!A:F,6,0))</f>
        <v>U</v>
      </c>
      <c r="E23" s="26">
        <v>1</v>
      </c>
      <c r="F23" s="26">
        <f>IF(B23="","",VLOOKUP(B23,Ressources!A:H,8,0)*E23)</f>
        <v>1.1000000000000001</v>
      </c>
      <c r="G23" s="38">
        <f>IF(B23="","",VLOOKUP(B23,Ressources!A:G,7,0))</f>
        <v>150</v>
      </c>
      <c r="H23" s="38">
        <f>IF(B23="","",F23*G23)</f>
        <v>165</v>
      </c>
    </row>
    <row r="24" spans="1:9" ht="16.5" thickBot="1" x14ac:dyDescent="0.3">
      <c r="C24" s="23" t="str">
        <f>IF(B24="","",VLOOKUP(B24,Ressources!A:E,5,0))</f>
        <v/>
      </c>
      <c r="D24" s="26" t="str">
        <f>IF(B24="","",VLOOKUP(B24,Ressources!A:F,6,0))</f>
        <v/>
      </c>
      <c r="G24" s="38" t="str">
        <f>IF(B24="","",VLOOKUP(B24,Ressources!A:G,7,0))</f>
        <v/>
      </c>
      <c r="H24" s="38" t="str">
        <f t="shared" si="0"/>
        <v/>
      </c>
    </row>
    <row r="25" spans="1:9" s="43" customFormat="1" ht="16.5" thickBot="1" x14ac:dyDescent="0.3">
      <c r="A25" s="39" t="s">
        <v>349</v>
      </c>
      <c r="B25" s="39"/>
      <c r="C25" s="39" t="s">
        <v>350</v>
      </c>
      <c r="D25" s="41" t="s">
        <v>21</v>
      </c>
      <c r="E25" s="41"/>
      <c r="F25" s="41"/>
      <c r="G25" s="42">
        <f>SUM(H26:H28)</f>
        <v>58.64</v>
      </c>
      <c r="H25" s="42" t="str">
        <f t="shared" si="0"/>
        <v/>
      </c>
      <c r="I25" s="42"/>
    </row>
    <row r="26" spans="1:9" x14ac:dyDescent="0.25">
      <c r="B26" s="23" t="s">
        <v>33</v>
      </c>
      <c r="C26" s="23" t="str">
        <f>IF(B26="","",VLOOKUP(B26,Ressources!A:E,5,0))</f>
        <v xml:space="preserve">Main d'œuvre ouvrier qualifié </v>
      </c>
      <c r="D26" s="26" t="str">
        <f>IF(B26="","",VLOOKUP(B26,Ressources!A:F,6,0))</f>
        <v>h</v>
      </c>
      <c r="E26" s="26">
        <v>0.02</v>
      </c>
      <c r="F26" s="26">
        <f>IF(B26="","",VLOOKUP(B26,Ressources!A:H,8,0)*E26)</f>
        <v>0.02</v>
      </c>
      <c r="G26" s="38">
        <f>IF(B26="","",VLOOKUP(B26,Ressources!A:G,7,0))</f>
        <v>32</v>
      </c>
      <c r="H26" s="38">
        <f t="shared" si="0"/>
        <v>0.64</v>
      </c>
    </row>
    <row r="27" spans="1:9" x14ac:dyDescent="0.25">
      <c r="B27" s="23" t="s">
        <v>351</v>
      </c>
      <c r="C27" s="23" t="str">
        <f>IF(B27="","",VLOOKUP(B27,Ressources!A:E,5,0))</f>
        <v xml:space="preserve">Location de tractopelle </v>
      </c>
      <c r="D27" s="26" t="str">
        <f>IF(B27="","",VLOOKUP(B27,Ressources!A:F,6,0))</f>
        <v>J</v>
      </c>
      <c r="E27" s="26">
        <v>0.02</v>
      </c>
      <c r="F27" s="26">
        <f>IF(B27="","",VLOOKUP(B27,Ressources!A:H,8,0)*E27)</f>
        <v>0.02</v>
      </c>
      <c r="G27" s="38">
        <f>IF(B27="","",VLOOKUP(B27,Ressources!A:G,7,0))</f>
        <v>650</v>
      </c>
      <c r="H27" s="38">
        <f t="shared" si="0"/>
        <v>13</v>
      </c>
    </row>
    <row r="28" spans="1:9" x14ac:dyDescent="0.25">
      <c r="B28" s="23" t="s">
        <v>343</v>
      </c>
      <c r="C28" s="23" t="str">
        <f>IF(B28="","",VLOOKUP(B28,Ressources!A:E,5,0))</f>
        <v xml:space="preserve">Location de bennes 6m3 y compris evacuation </v>
      </c>
      <c r="D28" s="26" t="str">
        <f>IF(B28="","",VLOOKUP(B28,Ressources!A:F,6,0))</f>
        <v>U</v>
      </c>
      <c r="E28" s="26">
        <v>0.3</v>
      </c>
      <c r="F28" s="26">
        <f>IF(B28="","",VLOOKUP(B28,Ressources!A:H,8,0)*E28)</f>
        <v>0.33</v>
      </c>
      <c r="G28" s="38">
        <f>IF(B28="","",VLOOKUP(B28,Ressources!A:G,7,0))</f>
        <v>150</v>
      </c>
      <c r="H28" s="38">
        <f t="shared" si="0"/>
        <v>45</v>
      </c>
    </row>
    <row r="29" spans="1:9" ht="16.5" thickBot="1" x14ac:dyDescent="0.3">
      <c r="C29" s="23" t="str">
        <f>IF(B29="","",VLOOKUP(B29,Ressources!A:E,5,0))</f>
        <v/>
      </c>
      <c r="D29" s="26" t="str">
        <f>IF(B29="","",VLOOKUP(B29,Ressources!A:F,6,0))</f>
        <v/>
      </c>
      <c r="F29" s="26" t="str">
        <f>IF(B29="","",VLOOKUP(B29,Ressources!A:H,8,0)*E29)</f>
        <v/>
      </c>
      <c r="G29" s="38" t="str">
        <f>IF(B29="","",VLOOKUP(B29,Ressources!A:G,7,0))</f>
        <v/>
      </c>
      <c r="H29" s="38" t="str">
        <f t="shared" si="0"/>
        <v/>
      </c>
    </row>
    <row r="30" spans="1:9" s="43" customFormat="1" ht="16.5" thickBot="1" x14ac:dyDescent="0.3">
      <c r="A30" s="39" t="s">
        <v>355</v>
      </c>
      <c r="B30" s="39"/>
      <c r="C30" s="39" t="s">
        <v>353</v>
      </c>
      <c r="D30" s="41" t="s">
        <v>21</v>
      </c>
      <c r="E30" s="41"/>
      <c r="F30" s="41" t="str">
        <f>IF(B30="","",VLOOKUP(B30,Ressources!A:H,8,0)*E30)</f>
        <v/>
      </c>
      <c r="G30" s="42">
        <f>SUM(H31)</f>
        <v>38.4</v>
      </c>
      <c r="H30" s="42" t="str">
        <f t="shared" si="0"/>
        <v/>
      </c>
      <c r="I30" s="42"/>
    </row>
    <row r="31" spans="1:9" x14ac:dyDescent="0.25">
      <c r="B31" s="23" t="s">
        <v>33</v>
      </c>
      <c r="C31" s="23" t="str">
        <f>IF(B31="","",VLOOKUP(B31,Ressources!A:E,5,0))</f>
        <v xml:space="preserve">Main d'œuvre ouvrier qualifié </v>
      </c>
      <c r="D31" s="26" t="str">
        <f>IF(B31="","",VLOOKUP(B31,Ressources!A:F,6,0))</f>
        <v>h</v>
      </c>
      <c r="E31" s="26">
        <v>1.2</v>
      </c>
      <c r="F31" s="26">
        <f>IF(B31="","",VLOOKUP(B31,Ressources!A:H,8,0)*E31)</f>
        <v>1.2</v>
      </c>
      <c r="G31" s="38">
        <f>IF(B31="","",VLOOKUP(B31,Ressources!A:G,7,0))</f>
        <v>32</v>
      </c>
      <c r="H31" s="38">
        <f t="shared" si="0"/>
        <v>38.4</v>
      </c>
    </row>
    <row r="32" spans="1:9" ht="16.5" thickBot="1" x14ac:dyDescent="0.3">
      <c r="C32" s="23" t="str">
        <f>IF(B32="","",VLOOKUP(B32,Ressources!A:E,5,0))</f>
        <v/>
      </c>
      <c r="D32" s="26" t="str">
        <f>IF(B32="","",VLOOKUP(B32,Ressources!A:F,6,0))</f>
        <v/>
      </c>
      <c r="F32" s="26" t="str">
        <f>IF(B32="","",VLOOKUP(B32,Ressources!A:H,8,0)*E32)</f>
        <v/>
      </c>
      <c r="G32" s="38" t="str">
        <f>IF(B32="","",VLOOKUP(B32,Ressources!A:G,7,0))</f>
        <v/>
      </c>
      <c r="H32" s="38" t="str">
        <f t="shared" si="0"/>
        <v/>
      </c>
    </row>
    <row r="33" spans="1:9" s="43" customFormat="1" ht="16.5" thickBot="1" x14ac:dyDescent="0.3">
      <c r="A33" s="39" t="s">
        <v>354</v>
      </c>
      <c r="B33" s="39"/>
      <c r="C33" s="39" t="s">
        <v>356</v>
      </c>
      <c r="D33" s="41" t="s">
        <v>21</v>
      </c>
      <c r="E33" s="41"/>
      <c r="F33" s="41" t="str">
        <f>IF(B33="","",VLOOKUP(B33,Ressources!A:H,8,0)*E33)</f>
        <v/>
      </c>
      <c r="G33" s="42">
        <f>SUM(H34:H35)</f>
        <v>102</v>
      </c>
      <c r="H33" s="42" t="str">
        <f t="shared" si="0"/>
        <v/>
      </c>
      <c r="I33" s="42"/>
    </row>
    <row r="34" spans="1:9" x14ac:dyDescent="0.25">
      <c r="B34" s="23" t="s">
        <v>33</v>
      </c>
      <c r="C34" s="23" t="str">
        <f>IF(B34="","",VLOOKUP(B34,Ressources!A:E,5,0))</f>
        <v xml:space="preserve">Main d'œuvre ouvrier qualifié </v>
      </c>
      <c r="D34" s="26" t="str">
        <f>IF(B34="","",VLOOKUP(B34,Ressources!A:F,6,0))</f>
        <v>h</v>
      </c>
      <c r="E34" s="26">
        <v>1.5</v>
      </c>
      <c r="F34" s="26">
        <f>IF(B34="","",VLOOKUP(B34,Ressources!A:H,8,0)*E34)</f>
        <v>1.5</v>
      </c>
      <c r="G34" s="38">
        <f>IF(B34="","",VLOOKUP(B34,Ressources!A:G,7,0))</f>
        <v>32</v>
      </c>
      <c r="H34" s="38">
        <f t="shared" si="0"/>
        <v>48</v>
      </c>
    </row>
    <row r="35" spans="1:9" x14ac:dyDescent="0.25">
      <c r="B35" s="23" t="s">
        <v>117</v>
      </c>
      <c r="C35" s="23" t="str">
        <f>IF(B35="","",VLOOKUP(B35,Ressources!A:E,5,0))</f>
        <v>Tout venant - Vrac</v>
      </c>
      <c r="D35" s="26" t="str">
        <f>IF(B35="","",VLOOKUP(B35,Ressources!A:F,6,0))</f>
        <v>m3</v>
      </c>
      <c r="E35" s="26">
        <v>1</v>
      </c>
      <c r="F35" s="26">
        <f>IF(B35="","",VLOOKUP(B35,Ressources!A:H,8,0)*E35)</f>
        <v>1.1000000000000001</v>
      </c>
      <c r="G35" s="38">
        <f>IF(B35="","",VLOOKUP(B35,Ressources!A:G,7,0))</f>
        <v>54</v>
      </c>
      <c r="H35" s="38">
        <f t="shared" si="0"/>
        <v>54</v>
      </c>
    </row>
    <row r="36" spans="1:9" ht="16.5" thickBot="1" x14ac:dyDescent="0.3">
      <c r="C36" s="23" t="str">
        <f>IF(B36="","",VLOOKUP(B36,Ressources!A:E,5,0))</f>
        <v/>
      </c>
      <c r="D36" s="26" t="str">
        <f>IF(B36="","",VLOOKUP(B36,Ressources!A:F,6,0))</f>
        <v/>
      </c>
      <c r="F36" s="26" t="str">
        <f>IF(B36="","",VLOOKUP(B36,Ressources!A:H,8,0)*E36)</f>
        <v/>
      </c>
      <c r="G36" s="38" t="str">
        <f>IF(B36="","",VLOOKUP(B36,Ressources!A:G,7,0))</f>
        <v/>
      </c>
      <c r="H36" s="38" t="str">
        <f t="shared" si="0"/>
        <v/>
      </c>
    </row>
    <row r="37" spans="1:9" s="43" customFormat="1" ht="16.5" thickBot="1" x14ac:dyDescent="0.3">
      <c r="A37" s="39" t="s">
        <v>357</v>
      </c>
      <c r="B37" s="39"/>
      <c r="C37" s="39" t="s">
        <v>360</v>
      </c>
      <c r="D37" s="41" t="s">
        <v>21</v>
      </c>
      <c r="E37" s="41"/>
      <c r="F37" s="41" t="str">
        <f>IF(B37="","",VLOOKUP(B37,Ressources!A:H,8,0)*E37)</f>
        <v/>
      </c>
      <c r="G37" s="42">
        <f>SUM(H38:H42)</f>
        <v>181.85000000000002</v>
      </c>
      <c r="H37" s="42" t="str">
        <f t="shared" si="0"/>
        <v/>
      </c>
      <c r="I37" s="42"/>
    </row>
    <row r="38" spans="1:9" x14ac:dyDescent="0.25">
      <c r="B38" s="23" t="s">
        <v>35</v>
      </c>
      <c r="C38" s="23" t="str">
        <f>IF(B38="","",VLOOKUP(B38,Ressources!A:E,5,0))</f>
        <v>Main d'œuvre Manœuvre</v>
      </c>
      <c r="D38" s="26" t="str">
        <f>IF(B38="","",VLOOKUP(B38,Ressources!A:F,6,0))</f>
        <v>h</v>
      </c>
      <c r="E38" s="26">
        <v>1.8</v>
      </c>
      <c r="F38" s="26">
        <f>IF(B38="","",VLOOKUP(B38,Ressources!A:H,8,0)*E38)</f>
        <v>1.8</v>
      </c>
      <c r="G38" s="38">
        <f>IF(B38="","",VLOOKUP(B38,Ressources!A:G,7,0))</f>
        <v>28</v>
      </c>
      <c r="H38" s="38">
        <f t="shared" si="0"/>
        <v>50.4</v>
      </c>
    </row>
    <row r="39" spans="1:9" x14ac:dyDescent="0.25">
      <c r="B39" s="23" t="s">
        <v>112</v>
      </c>
      <c r="C39" s="23" t="str">
        <f>IF(B39="","",VLOOKUP(B39,Ressources!A:E,5,0))</f>
        <v>Sable 0/4 - 0/5 - Vrac</v>
      </c>
      <c r="D39" s="26" t="str">
        <f>IF(B39="","",VLOOKUP(B39,Ressources!A:F,6,0))</f>
        <v>m3</v>
      </c>
      <c r="E39" s="26">
        <v>0.5</v>
      </c>
      <c r="F39" s="26">
        <f>IF(B39="","",VLOOKUP(B39,Ressources!A:H,8,0)*E39)</f>
        <v>0.55000000000000004</v>
      </c>
      <c r="G39" s="38">
        <f>IF(B39="","",VLOOKUP(B39,Ressources!A:G,7,0))</f>
        <v>61</v>
      </c>
      <c r="H39" s="38">
        <f t="shared" si="0"/>
        <v>30.5</v>
      </c>
    </row>
    <row r="40" spans="1:9" x14ac:dyDescent="0.25">
      <c r="B40" s="23" t="s">
        <v>119</v>
      </c>
      <c r="C40" s="23" t="str">
        <f>IF(B40="","",VLOOKUP(B40,Ressources!A:E,5,0))</f>
        <v>Gravillon concassés ou roulés - Vrac</v>
      </c>
      <c r="D40" s="26" t="str">
        <f>IF(B40="","",VLOOKUP(B40,Ressources!A:F,6,0))</f>
        <v>m3</v>
      </c>
      <c r="E40" s="26">
        <v>0.7</v>
      </c>
      <c r="F40" s="26">
        <f>IF(B40="","",VLOOKUP(B40,Ressources!A:H,8,0)*E40)</f>
        <v>0.77</v>
      </c>
      <c r="G40" s="38">
        <f>IF(B40="","",VLOOKUP(B40,Ressources!A:G,7,0))</f>
        <v>62</v>
      </c>
      <c r="H40" s="38">
        <f t="shared" si="0"/>
        <v>43.4</v>
      </c>
    </row>
    <row r="41" spans="1:9" x14ac:dyDescent="0.25">
      <c r="B41" s="23" t="s">
        <v>73</v>
      </c>
      <c r="C41" s="23" t="str">
        <f>IF(B41="","",VLOOKUP(B41,Ressources!A:E,5,0))</f>
        <v>Ciment CEM II/B-LL NF 32.5 R - Usage courant</v>
      </c>
      <c r="D41" s="26" t="str">
        <f>IF(B41="","",VLOOKUP(B41,Ressources!A:F,6,0))</f>
        <v>kg</v>
      </c>
      <c r="E41" s="26">
        <v>250</v>
      </c>
      <c r="F41" s="26">
        <f>IF(B41="","",VLOOKUP(B41,Ressources!A:H,8,0)*E41)</f>
        <v>275</v>
      </c>
      <c r="G41" s="38">
        <f>IF(B41="","",VLOOKUP(B41,Ressources!A:G,7,0))</f>
        <v>0.22</v>
      </c>
      <c r="H41" s="38">
        <f t="shared" si="0"/>
        <v>55</v>
      </c>
    </row>
    <row r="42" spans="1:9" x14ac:dyDescent="0.25">
      <c r="B42" s="23" t="s">
        <v>359</v>
      </c>
      <c r="C42" s="23" t="str">
        <f>IF(B42="","",VLOOKUP(B42,Ressources!A:E,5,0))</f>
        <v xml:space="preserve">Carburant pour machine </v>
      </c>
      <c r="D42" s="26" t="str">
        <f>IF(B42="","",VLOOKUP(B42,Ressources!A:F,6,0))</f>
        <v>l</v>
      </c>
      <c r="E42" s="26">
        <v>1.5</v>
      </c>
      <c r="F42" s="26">
        <f>IF(B42="","",VLOOKUP(B42,Ressources!A:H,8,0)*E42)</f>
        <v>1.5</v>
      </c>
      <c r="G42" s="38">
        <f>IF(B42="","",VLOOKUP(B42,Ressources!A:G,7,0))</f>
        <v>1.7</v>
      </c>
      <c r="H42" s="38">
        <f t="shared" si="0"/>
        <v>2.5499999999999998</v>
      </c>
    </row>
    <row r="43" spans="1:9" ht="16.5" thickBot="1" x14ac:dyDescent="0.3">
      <c r="C43" s="23" t="str">
        <f>IF(B43="","",VLOOKUP(B43,Ressources!A:E,5,0))</f>
        <v/>
      </c>
      <c r="D43" s="26" t="str">
        <f>IF(B43="","",VLOOKUP(B43,Ressources!A:F,6,0))</f>
        <v/>
      </c>
      <c r="F43" s="26" t="str">
        <f>IF(B43="","",VLOOKUP(B43,Ressources!A:H,8,0)*E43)</f>
        <v/>
      </c>
      <c r="G43" s="38" t="str">
        <f>IF(B43="","",VLOOKUP(B43,Ressources!A:G,7,0))</f>
        <v/>
      </c>
      <c r="H43" s="38" t="str">
        <f t="shared" si="0"/>
        <v/>
      </c>
    </row>
    <row r="44" spans="1:9" s="43" customFormat="1" ht="16.5" thickBot="1" x14ac:dyDescent="0.3">
      <c r="A44" s="39" t="s">
        <v>361</v>
      </c>
      <c r="B44" s="39"/>
      <c r="C44" s="39" t="s">
        <v>362</v>
      </c>
      <c r="D44" s="41" t="s">
        <v>21</v>
      </c>
      <c r="E44" s="41"/>
      <c r="F44" s="41" t="str">
        <f>IF(B44="","",VLOOKUP(B44,Ressources!A:H,8,0)*E44)</f>
        <v/>
      </c>
      <c r="G44" s="42">
        <f>SUM(H45:H48)</f>
        <v>165.65</v>
      </c>
      <c r="H44" s="42" t="str">
        <f t="shared" ref="H44:H48" si="1">IF(B44="","",E44*G44)</f>
        <v/>
      </c>
      <c r="I44" s="42"/>
    </row>
    <row r="45" spans="1:9" x14ac:dyDescent="0.25">
      <c r="B45" s="23" t="s">
        <v>35</v>
      </c>
      <c r="C45" s="23" t="str">
        <f>IF(B45="","",VLOOKUP(B45,Ressources!A:E,5,0))</f>
        <v>Main d'œuvre Manœuvre</v>
      </c>
      <c r="D45" s="26" t="str">
        <f>IF(B45="","",VLOOKUP(B45,Ressources!A:F,6,0))</f>
        <v>h</v>
      </c>
      <c r="E45" s="26">
        <v>1.8</v>
      </c>
      <c r="F45" s="26">
        <f>IF(B45="","",VLOOKUP(B45,Ressources!A:H,8,0)*E45)</f>
        <v>1.8</v>
      </c>
      <c r="G45" s="38">
        <f>IF(B45="","",VLOOKUP(B45,Ressources!A:G,7,0))</f>
        <v>28</v>
      </c>
      <c r="H45" s="38">
        <f t="shared" si="1"/>
        <v>50.4</v>
      </c>
    </row>
    <row r="46" spans="1:9" x14ac:dyDescent="0.25">
      <c r="B46" s="23" t="s">
        <v>112</v>
      </c>
      <c r="C46" s="23" t="str">
        <f>IF(B46="","",VLOOKUP(B46,Ressources!A:E,5,0))</f>
        <v>Sable 0/4 - 0/5 - Vrac</v>
      </c>
      <c r="D46" s="26" t="str">
        <f>IF(B46="","",VLOOKUP(B46,Ressources!A:F,6,0))</f>
        <v>m3</v>
      </c>
      <c r="E46" s="26">
        <v>0.7</v>
      </c>
      <c r="F46" s="26">
        <f>IF(B46="","",VLOOKUP(B46,Ressources!A:H,8,0)*E46)</f>
        <v>0.77</v>
      </c>
      <c r="G46" s="38">
        <f>IF(B46="","",VLOOKUP(B46,Ressources!A:G,7,0))</f>
        <v>61</v>
      </c>
      <c r="H46" s="38">
        <f t="shared" si="1"/>
        <v>42.699999999999996</v>
      </c>
    </row>
    <row r="47" spans="1:9" x14ac:dyDescent="0.25">
      <c r="B47" s="23" t="s">
        <v>84</v>
      </c>
      <c r="C47" s="23" t="str">
        <f>IF(B47="","",VLOOKUP(B47,Ressources!A:E,5,0))</f>
        <v>Mortier standard M20</v>
      </c>
      <c r="D47" s="26" t="str">
        <f>IF(B47="","",VLOOKUP(B47,Ressources!A:F,6,0))</f>
        <v>kg</v>
      </c>
      <c r="E47" s="26">
        <v>250</v>
      </c>
      <c r="F47" s="26">
        <f>IF(B47="","",VLOOKUP(B47,Ressources!A:H,8,0)*E47)</f>
        <v>275</v>
      </c>
      <c r="G47" s="38">
        <f>IF(B47="","",VLOOKUP(B47,Ressources!A:G,7,0))</f>
        <v>0.28000000000000003</v>
      </c>
      <c r="H47" s="38">
        <f t="shared" si="1"/>
        <v>70</v>
      </c>
    </row>
    <row r="48" spans="1:9" x14ac:dyDescent="0.25">
      <c r="B48" s="23" t="s">
        <v>359</v>
      </c>
      <c r="C48" s="23" t="str">
        <f>IF(B48="","",VLOOKUP(B48,Ressources!A:E,5,0))</f>
        <v xml:space="preserve">Carburant pour machine </v>
      </c>
      <c r="D48" s="26" t="str">
        <f>IF(B48="","",VLOOKUP(B48,Ressources!A:F,6,0))</f>
        <v>l</v>
      </c>
      <c r="E48" s="26">
        <v>1.5</v>
      </c>
      <c r="F48" s="26">
        <f>IF(B48="","",VLOOKUP(B48,Ressources!A:H,8,0)*E48)</f>
        <v>1.5</v>
      </c>
      <c r="G48" s="38">
        <f>IF(B48="","",VLOOKUP(B48,Ressources!A:G,7,0))</f>
        <v>1.7</v>
      </c>
      <c r="H48" s="38">
        <f t="shared" si="1"/>
        <v>2.5499999999999998</v>
      </c>
    </row>
    <row r="49" spans="1:9" ht="16.5" thickBot="1" x14ac:dyDescent="0.3">
      <c r="C49" s="23" t="str">
        <f>IF(B49="","",VLOOKUP(B49,Ressources!A:E,5,0))</f>
        <v/>
      </c>
      <c r="F49" s="26" t="str">
        <f>IF(B49="","",VLOOKUP(B49,Ressources!A:H,8,0)*E49)</f>
        <v/>
      </c>
      <c r="H49" s="38" t="str">
        <f t="shared" si="0"/>
        <v/>
      </c>
    </row>
    <row r="50" spans="1:9" s="43" customFormat="1" ht="16.5" thickBot="1" x14ac:dyDescent="0.3">
      <c r="A50" s="39" t="s">
        <v>296</v>
      </c>
      <c r="B50" s="39"/>
      <c r="C50" s="39" t="s">
        <v>365</v>
      </c>
      <c r="D50" s="41" t="s">
        <v>21</v>
      </c>
      <c r="E50" s="41"/>
      <c r="F50" s="41" t="str">
        <f>IF(B50="","",VLOOKUP(B50,Ressources!A:H,8,0)*E50)</f>
        <v/>
      </c>
      <c r="G50" s="42">
        <f>SUM(H51:H52)</f>
        <v>149.1</v>
      </c>
      <c r="H50" s="42" t="str">
        <f t="shared" si="0"/>
        <v/>
      </c>
      <c r="I50" s="42"/>
    </row>
    <row r="51" spans="1:9" x14ac:dyDescent="0.25">
      <c r="B51" s="23" t="s">
        <v>33</v>
      </c>
      <c r="C51" s="23" t="str">
        <f>IF(B51="","",VLOOKUP(B51,Ressources!A:E,5,0))</f>
        <v xml:space="preserve">Main d'œuvre ouvrier qualifié </v>
      </c>
      <c r="D51" s="26" t="str">
        <f>IF(B51="","",VLOOKUP(B51,Ressources!A:F,6,0))</f>
        <v>h</v>
      </c>
      <c r="E51" s="26">
        <v>0.8</v>
      </c>
      <c r="F51" s="26">
        <f>IF(B51="","",VLOOKUP(B51,Ressources!A:H,8,0)*E51)</f>
        <v>0.8</v>
      </c>
      <c r="G51" s="38">
        <f>IF(B51="","",VLOOKUP(B51,Ressources!A:G,7,0))</f>
        <v>32</v>
      </c>
      <c r="H51" s="38">
        <f t="shared" si="0"/>
        <v>25.6</v>
      </c>
    </row>
    <row r="52" spans="1:9" x14ac:dyDescent="0.25">
      <c r="B52" s="23" t="s">
        <v>37</v>
      </c>
      <c r="C52" s="23" t="str">
        <f>IF(B52="","",VLOOKUP(B52,Ressources!A:E,5,0))</f>
        <v>Béton X0</v>
      </c>
      <c r="D52" s="26" t="str">
        <f>IF(B52="","",VLOOKUP(B52,Ressources!A:F,6,0))</f>
        <v>m3</v>
      </c>
      <c r="E52" s="26">
        <v>1.3</v>
      </c>
      <c r="F52" s="26">
        <f>IF(B52="","",VLOOKUP(B52,Ressources!A:H,8,0)*E52)</f>
        <v>1.3390000000000002</v>
      </c>
      <c r="G52" s="38">
        <f>IF(B52="","",VLOOKUP(B52,Ressources!A:G,7,0))</f>
        <v>95</v>
      </c>
      <c r="H52" s="38">
        <f t="shared" ref="H52:H57" si="2">IF(B52="","",E52*G52)</f>
        <v>123.5</v>
      </c>
    </row>
    <row r="53" spans="1:9" ht="16.5" thickBot="1" x14ac:dyDescent="0.3">
      <c r="C53" s="23" t="str">
        <f>IF(B53="","",VLOOKUP(B53,Ressources!A:E,5,0))</f>
        <v/>
      </c>
      <c r="D53" s="26" t="str">
        <f>IF(B53="","",VLOOKUP(B53,Ressources!A:F,6,0))</f>
        <v/>
      </c>
      <c r="F53" s="26" t="str">
        <f>IF(B53="","",VLOOKUP(B53,Ressources!A:H,8,0)*E53)</f>
        <v/>
      </c>
      <c r="G53" s="38" t="str">
        <f>IF(B53="","",VLOOKUP(B53,Ressources!A:G,7,0))</f>
        <v/>
      </c>
      <c r="H53" s="38" t="str">
        <f t="shared" si="2"/>
        <v/>
      </c>
    </row>
    <row r="54" spans="1:9" s="43" customFormat="1" ht="16.5" thickBot="1" x14ac:dyDescent="0.3">
      <c r="A54" s="39" t="s">
        <v>366</v>
      </c>
      <c r="B54" s="39"/>
      <c r="C54" s="39" t="s">
        <v>367</v>
      </c>
      <c r="D54" s="41" t="s">
        <v>21</v>
      </c>
      <c r="E54" s="41"/>
      <c r="F54" s="41" t="str">
        <f>IF(B54="","",VLOOKUP(B54,Ressources!A:H,8,0)*E54)</f>
        <v/>
      </c>
      <c r="G54" s="42">
        <f>SUM(H55:H56)</f>
        <v>139.5</v>
      </c>
      <c r="H54" s="42" t="str">
        <f t="shared" si="2"/>
        <v/>
      </c>
      <c r="I54" s="42"/>
    </row>
    <row r="55" spans="1:9" x14ac:dyDescent="0.25">
      <c r="B55" s="23" t="s">
        <v>33</v>
      </c>
      <c r="C55" s="23" t="str">
        <f>IF(B55="","",VLOOKUP(B55,Ressources!A:E,5,0))</f>
        <v xml:space="preserve">Main d'œuvre ouvrier qualifié </v>
      </c>
      <c r="D55" s="26" t="str">
        <f>IF(B55="","",VLOOKUP(B55,Ressources!A:F,6,0))</f>
        <v>h</v>
      </c>
      <c r="E55" s="26">
        <v>0.5</v>
      </c>
      <c r="F55" s="26">
        <f>IF(B55="","",VLOOKUP(B55,Ressources!A:H,8,0)*E55)</f>
        <v>0.5</v>
      </c>
      <c r="G55" s="38">
        <f>IF(B55="","",VLOOKUP(B55,Ressources!A:G,7,0))</f>
        <v>32</v>
      </c>
      <c r="H55" s="38">
        <f t="shared" si="2"/>
        <v>16</v>
      </c>
    </row>
    <row r="56" spans="1:9" x14ac:dyDescent="0.25">
      <c r="B56" s="23" t="s">
        <v>37</v>
      </c>
      <c r="C56" s="23" t="str">
        <f>IF(B56="","",VLOOKUP(B56,Ressources!A:E,5,0))</f>
        <v>Béton X0</v>
      </c>
      <c r="D56" s="26" t="str">
        <f>IF(B56="","",VLOOKUP(B56,Ressources!A:F,6,0))</f>
        <v>m3</v>
      </c>
      <c r="E56" s="26">
        <v>1.3</v>
      </c>
      <c r="F56" s="26">
        <f>IF(B56="","",VLOOKUP(B56,Ressources!A:H,8,0)*E56)</f>
        <v>1.3390000000000002</v>
      </c>
      <c r="G56" s="38">
        <f>IF(B56="","",VLOOKUP(B56,Ressources!A:G,7,0))</f>
        <v>95</v>
      </c>
      <c r="H56" s="38">
        <f t="shared" ref="H56" si="3">IF(B56="","",E56*G56)</f>
        <v>123.5</v>
      </c>
    </row>
    <row r="57" spans="1:9" ht="16.5" thickBot="1" x14ac:dyDescent="0.3">
      <c r="C57" s="23" t="str">
        <f>IF(B57="","",VLOOKUP(B57,Ressources!A:E,5,0))</f>
        <v/>
      </c>
      <c r="D57" s="26" t="str">
        <f>IF(B57="","",VLOOKUP(B57,Ressources!A:F,6,0))</f>
        <v/>
      </c>
      <c r="F57" s="26" t="str">
        <f>IF(B57="","",VLOOKUP(B57,Ressources!A:H,8,0)*E57)</f>
        <v/>
      </c>
      <c r="G57" s="38" t="str">
        <f>IF(B57="","",VLOOKUP(B57,Ressources!A:G,7,0))</f>
        <v/>
      </c>
      <c r="H57" s="38" t="str">
        <f t="shared" si="2"/>
        <v/>
      </c>
    </row>
    <row r="58" spans="1:9" s="43" customFormat="1" ht="16.5" thickBot="1" x14ac:dyDescent="0.3">
      <c r="A58" s="39" t="s">
        <v>363</v>
      </c>
      <c r="B58" s="39"/>
      <c r="C58" s="39" t="s">
        <v>364</v>
      </c>
      <c r="D58" s="41" t="s">
        <v>21</v>
      </c>
      <c r="E58" s="41"/>
      <c r="F58" s="41" t="str">
        <f>IF(B58="","",VLOOKUP(B58,Ressources!A:H,8,0)*E58)</f>
        <v/>
      </c>
      <c r="G58" s="42">
        <f>SUM(H59:H60)</f>
        <v>144.30000000000001</v>
      </c>
      <c r="H58" s="42" t="str">
        <f t="shared" ref="H58:H60" si="4">IF(B58="","",E58*G58)</f>
        <v/>
      </c>
      <c r="I58" s="42"/>
    </row>
    <row r="59" spans="1:9" x14ac:dyDescent="0.25">
      <c r="B59" s="23" t="s">
        <v>33</v>
      </c>
      <c r="C59" s="23" t="str">
        <f>IF(B59="","",VLOOKUP(B59,Ressources!A:E,5,0))</f>
        <v xml:space="preserve">Main d'œuvre ouvrier qualifié </v>
      </c>
      <c r="D59" s="26" t="str">
        <f>IF(B59="","",VLOOKUP(B59,Ressources!A:F,6,0))</f>
        <v>h</v>
      </c>
      <c r="E59" s="26">
        <v>0.9</v>
      </c>
      <c r="F59" s="26">
        <f>IF(B59="","",VLOOKUP(B59,Ressources!A:H,8,0)*E59)</f>
        <v>0.9</v>
      </c>
      <c r="G59" s="38">
        <f>IF(B59="","",VLOOKUP(B59,Ressources!A:G,7,0))</f>
        <v>32</v>
      </c>
      <c r="H59" s="38">
        <f t="shared" si="4"/>
        <v>28.8</v>
      </c>
    </row>
    <row r="60" spans="1:9" x14ac:dyDescent="0.25">
      <c r="B60" s="23" t="s">
        <v>41</v>
      </c>
      <c r="C60" s="23" t="str">
        <f>IF(B60="","",VLOOKUP(B60,Ressources!A:E,5,0))</f>
        <v>Béton XC2 C20/25</v>
      </c>
      <c r="D60" s="26" t="str">
        <f>IF(B60="","",VLOOKUP(B60,Ressources!A:F,6,0))</f>
        <v>m3</v>
      </c>
      <c r="E60" s="26">
        <v>1.1000000000000001</v>
      </c>
      <c r="F60" s="26">
        <f>IF(B60="","",VLOOKUP(B60,Ressources!A:H,8,0)*E60)</f>
        <v>1.1330000000000002</v>
      </c>
      <c r="G60" s="38">
        <f>IF(B60="","",VLOOKUP(B60,Ressources!A:G,7,0))</f>
        <v>105</v>
      </c>
      <c r="H60" s="38">
        <f t="shared" si="4"/>
        <v>115.50000000000001</v>
      </c>
    </row>
    <row r="61" spans="1:9" ht="16.5" thickBot="1" x14ac:dyDescent="0.3">
      <c r="C61" s="23" t="str">
        <f>IF(B61="","",VLOOKUP(B61,Ressources!A:E,5,0))</f>
        <v/>
      </c>
      <c r="F61" s="26" t="str">
        <f>IF(B61="","",VLOOKUP(B61,Ressources!A:H,8,0)*E61)</f>
        <v/>
      </c>
    </row>
    <row r="62" spans="1:9" s="43" customFormat="1" ht="16.5" thickBot="1" x14ac:dyDescent="0.3">
      <c r="A62" s="39" t="s">
        <v>368</v>
      </c>
      <c r="B62" s="39"/>
      <c r="C62" s="39" t="s">
        <v>369</v>
      </c>
      <c r="D62" s="41" t="s">
        <v>20</v>
      </c>
      <c r="E62" s="41"/>
      <c r="F62" s="41" t="str">
        <f>IF(B62="","",VLOOKUP(B62,Ressources!A:H,8,0)*E62)</f>
        <v/>
      </c>
      <c r="G62" s="42">
        <f>SUM(H63:H65)</f>
        <v>41</v>
      </c>
      <c r="H62" s="42" t="str">
        <f t="shared" ref="H62:H64" si="5">IF(B62="","",E62*G62)</f>
        <v/>
      </c>
      <c r="I62" s="42"/>
    </row>
    <row r="63" spans="1:9" x14ac:dyDescent="0.25">
      <c r="B63" s="23" t="s">
        <v>33</v>
      </c>
      <c r="C63" s="23" t="str">
        <f>IF(B63="","",VLOOKUP(B63,Ressources!A:E,5,0))</f>
        <v xml:space="preserve">Main d'œuvre ouvrier qualifié </v>
      </c>
      <c r="D63" s="26" t="str">
        <f>IF(B63="","",VLOOKUP(B63,Ressources!A:F,6,0))</f>
        <v>h</v>
      </c>
      <c r="E63" s="26">
        <v>1</v>
      </c>
      <c r="F63" s="26">
        <f>IF(B63="","",VLOOKUP(B63,Ressources!A:H,8,0)*E63)</f>
        <v>1</v>
      </c>
      <c r="G63" s="38">
        <f>IF(B63="","",VLOOKUP(B63,Ressources!A:G,7,0))</f>
        <v>32</v>
      </c>
      <c r="H63" s="38">
        <f t="shared" si="5"/>
        <v>32</v>
      </c>
    </row>
    <row r="64" spans="1:9" x14ac:dyDescent="0.25">
      <c r="B64" s="23" t="s">
        <v>173</v>
      </c>
      <c r="C64" s="23" t="str">
        <f>IF(B64="","",VLOOKUP(B64,Ressources!A:E,5,0))</f>
        <v>Planche de coffrage non traité ep27mm</v>
      </c>
      <c r="D64" s="26" t="str">
        <f>IF(B64="","",VLOOKUP(B64,Ressources!A:F,6,0))</f>
        <v>m2</v>
      </c>
      <c r="E64" s="26">
        <v>2</v>
      </c>
      <c r="F64" s="26">
        <f>IF(B64="","",VLOOKUP(B64,Ressources!A:H,8,0)*E64)</f>
        <v>1</v>
      </c>
      <c r="G64" s="38">
        <f>IF(B64="","",VLOOKUP(B64,Ressources!A:G,7,0))</f>
        <v>3.5</v>
      </c>
      <c r="H64" s="38">
        <f t="shared" si="5"/>
        <v>7</v>
      </c>
    </row>
    <row r="65" spans="1:9" x14ac:dyDescent="0.25">
      <c r="B65" s="23" t="s">
        <v>371</v>
      </c>
      <c r="C65" s="23" t="str">
        <f>IF(B65="","",VLOOKUP(B65,Ressources!A:E,5,0))</f>
        <v>Divers petits matériaux</v>
      </c>
      <c r="D65" s="26" t="str">
        <f>IF(B65="","",VLOOKUP(B65,Ressources!A:F,6,0))</f>
        <v>ens</v>
      </c>
      <c r="E65" s="26">
        <v>1</v>
      </c>
      <c r="F65" s="26">
        <f>IF(B65="","",VLOOKUP(B65,Ressources!A:H,8,0)*E65)</f>
        <v>1</v>
      </c>
      <c r="G65" s="38">
        <f>IF(B65="","",VLOOKUP(B65,Ressources!A:G,7,0))</f>
        <v>2</v>
      </c>
      <c r="H65" s="38">
        <f t="shared" ref="H65" si="6">IF(B65="","",E65*G65)</f>
        <v>2</v>
      </c>
    </row>
    <row r="66" spans="1:9" ht="16.5" thickBot="1" x14ac:dyDescent="0.3">
      <c r="C66" s="23" t="str">
        <f>IF(B66="","",VLOOKUP(B66,Ressources!A:E,5,0))</f>
        <v/>
      </c>
      <c r="F66" s="26" t="str">
        <f>IF(B66="","",VLOOKUP(B66,Ressources!A:H,8,0)*E66)</f>
        <v/>
      </c>
    </row>
    <row r="67" spans="1:9" s="43" customFormat="1" ht="16.5" thickBot="1" x14ac:dyDescent="0.3">
      <c r="A67" s="39" t="s">
        <v>380</v>
      </c>
      <c r="B67" s="39"/>
      <c r="C67" s="39" t="s">
        <v>379</v>
      </c>
      <c r="D67" s="41" t="s">
        <v>22</v>
      </c>
      <c r="E67" s="41"/>
      <c r="F67" s="41" t="str">
        <f>IF(B67="","",VLOOKUP(B67,Ressources!A:H,8,0)*E67)</f>
        <v/>
      </c>
      <c r="G67" s="42">
        <f>SUM(H68:H69)</f>
        <v>2.7</v>
      </c>
      <c r="H67" s="42" t="str">
        <f t="shared" ref="H67:H70" si="7">IF(B67="","",E67*G67)</f>
        <v/>
      </c>
      <c r="I67" s="42"/>
    </row>
    <row r="68" spans="1:9" x14ac:dyDescent="0.25">
      <c r="B68" s="23" t="s">
        <v>33</v>
      </c>
      <c r="C68" s="23" t="str">
        <f>IF(B68="","",VLOOKUP(B68,Ressources!A:E,5,0))</f>
        <v xml:space="preserve">Main d'œuvre ouvrier qualifié </v>
      </c>
      <c r="D68" s="26" t="str">
        <f>IF(B68="","",VLOOKUP(B68,Ressources!A:F,6,0))</f>
        <v>h</v>
      </c>
      <c r="E68" s="26">
        <v>0.05</v>
      </c>
      <c r="F68" s="26">
        <f>IF(B68="","",VLOOKUP(B68,Ressources!A:H,8,0)*E68)</f>
        <v>0.05</v>
      </c>
      <c r="G68" s="38">
        <f>IF(B68="","",VLOOKUP(B68,Ressources!A:G,7,0))</f>
        <v>32</v>
      </c>
      <c r="H68" s="38">
        <f t="shared" si="7"/>
        <v>1.6</v>
      </c>
    </row>
    <row r="69" spans="1:9" x14ac:dyDescent="0.25">
      <c r="B69" s="23" t="s">
        <v>133</v>
      </c>
      <c r="C69" s="23" t="str">
        <f>IF(B69="","",VLOOKUP(B69,Ressources!A:E,5,0))</f>
        <v>Acier HA coupé, façonné</v>
      </c>
      <c r="D69" s="26" t="str">
        <f>IF(B69="","",VLOOKUP(B69,Ressources!A:F,6,0))</f>
        <v>kg</v>
      </c>
      <c r="E69" s="26">
        <v>1</v>
      </c>
      <c r="F69" s="26">
        <f>IF(B69="","",VLOOKUP(B69,Ressources!A:H,8,0)*E69)</f>
        <v>1</v>
      </c>
      <c r="G69" s="38">
        <f>IF(B69="","",VLOOKUP(B69,Ressources!A:G,7,0))</f>
        <v>1.1000000000000001</v>
      </c>
      <c r="H69" s="38">
        <f t="shared" si="7"/>
        <v>1.1000000000000001</v>
      </c>
    </row>
    <row r="70" spans="1:9" ht="16.5" thickBot="1" x14ac:dyDescent="0.3">
      <c r="C70" s="23" t="str">
        <f>IF(B70="","",VLOOKUP(B70,Ressources!A:E,5,0))</f>
        <v/>
      </c>
      <c r="D70" s="26" t="str">
        <f>IF(B70="","",VLOOKUP(B70,Ressources!A:F,6,0))</f>
        <v/>
      </c>
      <c r="E70" s="26">
        <v>1</v>
      </c>
      <c r="F70" s="26" t="str">
        <f>IF(B70="","",VLOOKUP(B70,Ressources!A:H,8,0)*E70)</f>
        <v/>
      </c>
      <c r="G70" s="38" t="str">
        <f>IF(B70="","",VLOOKUP(B70,Ressources!A:G,7,0))</f>
        <v/>
      </c>
      <c r="H70" s="38" t="str">
        <f t="shared" si="7"/>
        <v/>
      </c>
    </row>
    <row r="71" spans="1:9" s="43" customFormat="1" ht="16.5" thickBot="1" x14ac:dyDescent="0.3">
      <c r="A71" s="39" t="s">
        <v>381</v>
      </c>
      <c r="B71" s="39"/>
      <c r="C71" s="39" t="s">
        <v>382</v>
      </c>
      <c r="D71" s="41" t="s">
        <v>22</v>
      </c>
      <c r="E71" s="41"/>
      <c r="F71" s="41" t="str">
        <f>IF(B71="","",VLOOKUP(B71,Ressources!A:H,8,0)*E71)</f>
        <v/>
      </c>
      <c r="G71" s="42">
        <f>SUM(H72:H73)</f>
        <v>1.6099999999999999</v>
      </c>
      <c r="H71" s="42" t="str">
        <f t="shared" ref="H71:H74" si="8">IF(B71="","",E71*G71)</f>
        <v/>
      </c>
      <c r="I71" s="42"/>
    </row>
    <row r="72" spans="1:9" x14ac:dyDescent="0.25">
      <c r="B72" s="23" t="s">
        <v>33</v>
      </c>
      <c r="C72" s="23" t="str">
        <f>IF(B72="","",VLOOKUP(B72,Ressources!A:E,5,0))</f>
        <v xml:space="preserve">Main d'œuvre ouvrier qualifié </v>
      </c>
      <c r="D72" s="26" t="str">
        <f>IF(B72="","",VLOOKUP(B72,Ressources!A:F,6,0))</f>
        <v>h</v>
      </c>
      <c r="E72" s="26">
        <v>0.03</v>
      </c>
      <c r="F72" s="26">
        <f>IF(B72="","",VLOOKUP(B72,Ressources!A:H,8,0)*E72)</f>
        <v>0.03</v>
      </c>
      <c r="G72" s="38">
        <f>IF(B72="","",VLOOKUP(B72,Ressources!A:G,7,0))</f>
        <v>32</v>
      </c>
      <c r="H72" s="38">
        <f t="shared" si="8"/>
        <v>0.96</v>
      </c>
    </row>
    <row r="73" spans="1:9" x14ac:dyDescent="0.25">
      <c r="B73" s="23" t="s">
        <v>377</v>
      </c>
      <c r="C73" s="23" t="str">
        <f>IF(B73="","",VLOOKUP(B73,Ressources!A:E,5,0))</f>
        <v>Treillis soudé standard</v>
      </c>
      <c r="D73" s="26" t="str">
        <f>IF(B73="","",VLOOKUP(B73,Ressources!A:F,6,0))</f>
        <v>kg</v>
      </c>
      <c r="E73" s="26">
        <v>1</v>
      </c>
      <c r="F73" s="26">
        <f>IF(B73="","",VLOOKUP(B73,Ressources!A:H,8,0)*E73)</f>
        <v>1.05</v>
      </c>
      <c r="G73" s="38">
        <f>IF(B73="","",VLOOKUP(B73,Ressources!A:G,7,0))</f>
        <v>0.65</v>
      </c>
      <c r="H73" s="38">
        <f t="shared" si="8"/>
        <v>0.65</v>
      </c>
    </row>
    <row r="74" spans="1:9" ht="16.5" thickBot="1" x14ac:dyDescent="0.3">
      <c r="C74" s="23" t="str">
        <f>IF(B74="","",VLOOKUP(B74,Ressources!A:E,5,0))</f>
        <v/>
      </c>
      <c r="D74" s="26" t="str">
        <f>IF(B74="","",VLOOKUP(B74,Ressources!A:F,6,0))</f>
        <v/>
      </c>
      <c r="E74" s="26">
        <v>1</v>
      </c>
      <c r="F74" s="26" t="str">
        <f>IF(B74="","",VLOOKUP(B74,Ressources!A:H,8,0)*E74)</f>
        <v/>
      </c>
      <c r="G74" s="38" t="str">
        <f>IF(B74="","",VLOOKUP(B74,Ressources!A:G,7,0))</f>
        <v/>
      </c>
      <c r="H74" s="38" t="str">
        <f t="shared" si="8"/>
        <v/>
      </c>
    </row>
    <row r="75" spans="1:9" s="43" customFormat="1" ht="16.5" thickBot="1" x14ac:dyDescent="0.3">
      <c r="A75" s="39" t="s">
        <v>375</v>
      </c>
      <c r="B75" s="39"/>
      <c r="C75" s="39" t="s">
        <v>373</v>
      </c>
      <c r="D75" s="41" t="s">
        <v>21</v>
      </c>
      <c r="E75" s="41"/>
      <c r="F75" s="41" t="str">
        <f>IF(B75="","",VLOOKUP(B75,Ressources!A:H,8,0)*E75)</f>
        <v/>
      </c>
      <c r="G75" s="42">
        <f>SUM(H76:H77)</f>
        <v>25</v>
      </c>
      <c r="H75" s="42" t="str">
        <f t="shared" ref="H75:H77" si="9">IF(B75="","",E75*G75)</f>
        <v/>
      </c>
      <c r="I75" s="42"/>
    </row>
    <row r="76" spans="1:9" x14ac:dyDescent="0.25">
      <c r="B76" s="23" t="s">
        <v>372</v>
      </c>
      <c r="C76" s="23" t="str">
        <f>IF(B76="","",VLOOKUP(B76,Ressources!A:E,5,0))</f>
        <v xml:space="preserve">Plus Value pour béton pompé </v>
      </c>
      <c r="D76" s="26" t="str">
        <f>IF(B76="","",VLOOKUP(B76,Ressources!A:F,6,0))</f>
        <v>m3</v>
      </c>
      <c r="E76" s="26">
        <v>1</v>
      </c>
      <c r="F76" s="26">
        <f>IF(B76="","",VLOOKUP(B76,Ressources!A:H,8,0)*E76)</f>
        <v>1</v>
      </c>
      <c r="G76" s="38">
        <f>IF(B76="","",VLOOKUP(B76,Ressources!A:G,7,0))</f>
        <v>25</v>
      </c>
      <c r="H76" s="38">
        <f t="shared" si="9"/>
        <v>25</v>
      </c>
    </row>
    <row r="77" spans="1:9" ht="16.5" thickBot="1" x14ac:dyDescent="0.3">
      <c r="C77" s="23" t="str">
        <f>IF(B77="","",VLOOKUP(B77,Ressources!A:E,5,0))</f>
        <v/>
      </c>
      <c r="D77" s="26" t="str">
        <f>IF(B77="","",VLOOKUP(B77,Ressources!A:F,6,0))</f>
        <v/>
      </c>
      <c r="E77" s="26">
        <v>1</v>
      </c>
      <c r="F77" s="26" t="str">
        <f>IF(B77="","",VLOOKUP(B77,Ressources!A:H,8,0)*E77)</f>
        <v/>
      </c>
      <c r="G77" s="38" t="str">
        <f>IF(B77="","",VLOOKUP(B77,Ressources!A:G,7,0))</f>
        <v/>
      </c>
      <c r="H77" s="38" t="str">
        <f t="shared" si="9"/>
        <v/>
      </c>
    </row>
    <row r="78" spans="1:9" s="43" customFormat="1" ht="16.5" thickBot="1" x14ac:dyDescent="0.3">
      <c r="A78" s="39" t="s">
        <v>375</v>
      </c>
      <c r="B78" s="39"/>
      <c r="C78" s="39" t="s">
        <v>376</v>
      </c>
      <c r="D78" s="41" t="s">
        <v>21</v>
      </c>
      <c r="E78" s="41"/>
      <c r="F78" s="41" t="str">
        <f>IF(B78="","",VLOOKUP(B78,Ressources!A:H,8,0)*E78)</f>
        <v/>
      </c>
      <c r="G78" s="42">
        <f>SUM(H79:H80)</f>
        <v>7.9499999999999993</v>
      </c>
      <c r="H78" s="42" t="str">
        <f t="shared" ref="H78:H79" si="10">IF(B78="","",E78*G78)</f>
        <v/>
      </c>
      <c r="I78" s="42"/>
    </row>
    <row r="79" spans="1:9" x14ac:dyDescent="0.25">
      <c r="B79" s="23" t="s">
        <v>273</v>
      </c>
      <c r="C79" s="23" t="str">
        <f>IF(B79="","",VLOOKUP(B79,Ressources!A:E,5,0))</f>
        <v>Hydrofuge béton et mortier</v>
      </c>
      <c r="D79" s="26" t="str">
        <f>IF(B79="","",VLOOKUP(B79,Ressources!A:F,6,0))</f>
        <v>l</v>
      </c>
      <c r="E79" s="26">
        <v>1.5</v>
      </c>
      <c r="F79" s="26">
        <f>IF(B79="","",VLOOKUP(B79,Ressources!A:H,8,0)*E79)</f>
        <v>1.5750000000000002</v>
      </c>
      <c r="G79" s="38">
        <f>IF(B79="","",VLOOKUP(B79,Ressources!A:G,7,0))</f>
        <v>5.3</v>
      </c>
      <c r="H79" s="38">
        <f t="shared" si="10"/>
        <v>7.9499999999999993</v>
      </c>
    </row>
    <row r="80" spans="1:9" ht="16.5" thickBot="1" x14ac:dyDescent="0.3">
      <c r="F80" s="26" t="str">
        <f>IF(B80="","",VLOOKUP(B80,Ressources!A:H,8,0)*E80)</f>
        <v/>
      </c>
    </row>
    <row r="81" spans="1:9" s="43" customFormat="1" ht="16.5" thickBot="1" x14ac:dyDescent="0.3">
      <c r="A81" s="39" t="s">
        <v>430</v>
      </c>
      <c r="B81" s="39"/>
      <c r="C81" s="39" t="s">
        <v>431</v>
      </c>
      <c r="D81" s="41" t="s">
        <v>21</v>
      </c>
      <c r="E81" s="41"/>
      <c r="F81" s="41" t="str">
        <f>IF(B81="","",VLOOKUP(B81,Ressources!A:H,8,0)*E81)</f>
        <v/>
      </c>
      <c r="G81" s="42">
        <f>SUM(H82:H83)</f>
        <v>153</v>
      </c>
      <c r="H81" s="42" t="str">
        <f t="shared" ref="H81:H83" si="11">IF(B81="","",E81*G81)</f>
        <v/>
      </c>
      <c r="I81" s="42"/>
    </row>
    <row r="82" spans="1:9" x14ac:dyDescent="0.25">
      <c r="B82" s="23" t="s">
        <v>33</v>
      </c>
      <c r="C82" s="23" t="str">
        <f>IF(B82="","",VLOOKUP(B82,Ressources!A:E,5,0))</f>
        <v xml:space="preserve">Main d'œuvre ouvrier qualifié </v>
      </c>
      <c r="D82" s="26" t="str">
        <f>IF(B82="","",VLOOKUP(B82,Ressources!A:F,6,0))</f>
        <v>h</v>
      </c>
      <c r="E82" s="26">
        <v>1.5</v>
      </c>
      <c r="F82" s="26">
        <f>IF(B82="","",VLOOKUP(B82,Ressources!A:H,8,0)*E82)</f>
        <v>1.5</v>
      </c>
      <c r="G82" s="38">
        <f>IF(B82="","",VLOOKUP(B82,Ressources!A:G,7,0))</f>
        <v>32</v>
      </c>
      <c r="H82" s="38">
        <f t="shared" si="11"/>
        <v>48</v>
      </c>
    </row>
    <row r="83" spans="1:9" x14ac:dyDescent="0.25">
      <c r="B83" s="23" t="s">
        <v>41</v>
      </c>
      <c r="C83" s="23" t="str">
        <f>IF(B83="","",VLOOKUP(B83,Ressources!A:E,5,0))</f>
        <v>Béton XC2 C20/25</v>
      </c>
      <c r="D83" s="26" t="str">
        <f>IF(B83="","",VLOOKUP(B83,Ressources!A:F,6,0))</f>
        <v>m3</v>
      </c>
      <c r="E83" s="26">
        <v>1</v>
      </c>
      <c r="F83" s="26">
        <f>IF(B83="","",VLOOKUP(B83,Ressources!A:H,8,0)*E83)</f>
        <v>1.03</v>
      </c>
      <c r="G83" s="38">
        <f>IF(B83="","",VLOOKUP(B83,Ressources!A:G,7,0))</f>
        <v>105</v>
      </c>
      <c r="H83" s="38">
        <f t="shared" si="11"/>
        <v>105</v>
      </c>
    </row>
    <row r="84" spans="1:9" ht="16.5" thickBot="1" x14ac:dyDescent="0.3">
      <c r="C84" s="23" t="str">
        <f>IF(B84="","",VLOOKUP(B84,Ressources!A:E,5,0))</f>
        <v/>
      </c>
      <c r="F84" s="26" t="str">
        <f>IF(B84="","",VLOOKUP(B84,Ressources!A:H,8,0)*E84)</f>
        <v/>
      </c>
    </row>
    <row r="85" spans="1:9" s="43" customFormat="1" ht="16.5" thickBot="1" x14ac:dyDescent="0.3">
      <c r="A85" s="39" t="s">
        <v>368</v>
      </c>
      <c r="B85" s="39"/>
      <c r="C85" s="39" t="s">
        <v>432</v>
      </c>
      <c r="D85" s="41" t="s">
        <v>20</v>
      </c>
      <c r="E85" s="41"/>
      <c r="F85" s="41" t="str">
        <f>IF(B85="","",VLOOKUP(B85,Ressources!A:H,8,0)*E85)</f>
        <v/>
      </c>
      <c r="G85" s="42">
        <f>SUM(H86:H89)</f>
        <v>38.5</v>
      </c>
      <c r="H85" s="42" t="str">
        <f t="shared" ref="H85:H89" si="12">IF(B85="","",E85*G85)</f>
        <v/>
      </c>
      <c r="I85" s="42"/>
    </row>
    <row r="86" spans="1:9" x14ac:dyDescent="0.25">
      <c r="B86" s="23" t="s">
        <v>33</v>
      </c>
      <c r="C86" s="23" t="str">
        <f>IF(B86="","",VLOOKUP(B86,Ressources!A:E,5,0))</f>
        <v xml:space="preserve">Main d'œuvre ouvrier qualifié </v>
      </c>
      <c r="D86" s="26" t="str">
        <f>IF(B86="","",VLOOKUP(B86,Ressources!A:F,6,0))</f>
        <v>h</v>
      </c>
      <c r="E86" s="26">
        <v>1</v>
      </c>
      <c r="F86" s="26">
        <f>IF(B86="","",VLOOKUP(B86,Ressources!A:H,8,0)*E86)</f>
        <v>1</v>
      </c>
      <c r="G86" s="38">
        <f>IF(B86="","",VLOOKUP(B86,Ressources!A:G,7,0))</f>
        <v>32</v>
      </c>
      <c r="H86" s="38">
        <f t="shared" si="12"/>
        <v>32</v>
      </c>
    </row>
    <row r="87" spans="1:9" x14ac:dyDescent="0.25">
      <c r="B87" s="23" t="s">
        <v>173</v>
      </c>
      <c r="C87" s="23" t="str">
        <f>IF(B87="","",VLOOKUP(B87,Ressources!A:E,5,0))</f>
        <v>Planche de coffrage non traité ep27mm</v>
      </c>
      <c r="D87" s="26" t="str">
        <f>IF(B87="","",VLOOKUP(B87,Ressources!A:F,6,0))</f>
        <v>m2</v>
      </c>
      <c r="E87" s="26">
        <v>1</v>
      </c>
      <c r="F87" s="26">
        <f>IF(B87="","",VLOOKUP(B87,Ressources!A:H,8,0)*E87)</f>
        <v>0.5</v>
      </c>
      <c r="G87" s="38">
        <f>IF(B87="","",VLOOKUP(B87,Ressources!A:G,7,0))</f>
        <v>3.5</v>
      </c>
      <c r="H87" s="38">
        <f t="shared" si="12"/>
        <v>3.5</v>
      </c>
    </row>
    <row r="88" spans="1:9" x14ac:dyDescent="0.25">
      <c r="B88" s="23" t="s">
        <v>231</v>
      </c>
      <c r="C88" s="23" t="str">
        <f>IF(B88="","",VLOOKUP(B88,Ressources!A:E,5,0))</f>
        <v xml:space="preserve">Huile végétale pour démoulage </v>
      </c>
      <c r="D88" s="26" t="str">
        <f>IF(B88="","",VLOOKUP(B88,Ressources!A:F,6,0))</f>
        <v>l</v>
      </c>
      <c r="E88" s="26">
        <v>0.2</v>
      </c>
      <c r="F88" s="26">
        <f>IF(B88="","",VLOOKUP(B88,Ressources!A:H,8,0)*E88)</f>
        <v>0.22000000000000003</v>
      </c>
      <c r="G88" s="38">
        <f>IF(B88="","",VLOOKUP(B88,Ressources!A:G,7,0))</f>
        <v>5</v>
      </c>
      <c r="H88" s="38">
        <f t="shared" ref="H88" si="13">IF(B88="","",E88*G88)</f>
        <v>1</v>
      </c>
    </row>
    <row r="89" spans="1:9" x14ac:dyDescent="0.25">
      <c r="B89" s="23" t="s">
        <v>371</v>
      </c>
      <c r="C89" s="23" t="str">
        <f>IF(B89="","",VLOOKUP(B89,Ressources!A:E,5,0))</f>
        <v>Divers petits matériaux</v>
      </c>
      <c r="D89" s="26" t="str">
        <f>IF(B89="","",VLOOKUP(B89,Ressources!A:F,6,0))</f>
        <v>ens</v>
      </c>
      <c r="E89" s="26">
        <v>1</v>
      </c>
      <c r="F89" s="26">
        <f>IF(B89="","",VLOOKUP(B89,Ressources!A:H,8,0)*E89)</f>
        <v>1</v>
      </c>
      <c r="G89" s="38">
        <f>IF(B89="","",VLOOKUP(B89,Ressources!A:G,7,0))</f>
        <v>2</v>
      </c>
      <c r="H89" s="38">
        <f t="shared" si="12"/>
        <v>2</v>
      </c>
    </row>
    <row r="90" spans="1:9" ht="16.5" thickBot="1" x14ac:dyDescent="0.3">
      <c r="C90" s="23" t="str">
        <f>IF(B90="","",VLOOKUP(B90,Ressources!A:E,5,0))</f>
        <v/>
      </c>
      <c r="F90" s="26" t="str">
        <f>IF(B90="","",VLOOKUP(B90,Ressources!A:H,8,0)*E90)</f>
        <v/>
      </c>
    </row>
    <row r="91" spans="1:9" s="43" customFormat="1" ht="16.5" thickBot="1" x14ac:dyDescent="0.3">
      <c r="A91" s="39" t="s">
        <v>380</v>
      </c>
      <c r="B91" s="39"/>
      <c r="C91" s="39" t="s">
        <v>433</v>
      </c>
      <c r="D91" s="41" t="s">
        <v>22</v>
      </c>
      <c r="E91" s="41"/>
      <c r="F91" s="41" t="str">
        <f>IF(B91="","",VLOOKUP(B91,Ressources!A:H,8,0)*E91)</f>
        <v/>
      </c>
      <c r="G91" s="42">
        <f>SUM(H92:H93)</f>
        <v>2.7</v>
      </c>
      <c r="H91" s="42" t="str">
        <f t="shared" ref="H91:H97" si="14">IF(B91="","",E91*G91)</f>
        <v/>
      </c>
      <c r="I91" s="42"/>
    </row>
    <row r="92" spans="1:9" x14ac:dyDescent="0.25">
      <c r="B92" s="23" t="s">
        <v>33</v>
      </c>
      <c r="C92" s="23" t="str">
        <f>IF(B92="","",VLOOKUP(B92,Ressources!A:E,5,0))</f>
        <v xml:space="preserve">Main d'œuvre ouvrier qualifié </v>
      </c>
      <c r="D92" s="26" t="str">
        <f>IF(B92="","",VLOOKUP(B92,Ressources!A:F,6,0))</f>
        <v>h</v>
      </c>
      <c r="E92" s="26">
        <v>0.05</v>
      </c>
      <c r="F92" s="26">
        <f>IF(B92="","",VLOOKUP(B92,Ressources!A:H,8,0)*E92)</f>
        <v>0.05</v>
      </c>
      <c r="G92" s="38">
        <f>IF(B92="","",VLOOKUP(B92,Ressources!A:G,7,0))</f>
        <v>32</v>
      </c>
      <c r="H92" s="38">
        <f t="shared" si="14"/>
        <v>1.6</v>
      </c>
    </row>
    <row r="93" spans="1:9" x14ac:dyDescent="0.25">
      <c r="B93" s="23" t="s">
        <v>133</v>
      </c>
      <c r="C93" s="23" t="str">
        <f>IF(B93="","",VLOOKUP(B93,Ressources!A:E,5,0))</f>
        <v>Acier HA coupé, façonné</v>
      </c>
      <c r="D93" s="26" t="str">
        <f>IF(B93="","",VLOOKUP(B93,Ressources!A:F,6,0))</f>
        <v>kg</v>
      </c>
      <c r="E93" s="26">
        <v>1</v>
      </c>
      <c r="F93" s="26">
        <f>IF(B93="","",VLOOKUP(B93,Ressources!A:H,8,0)*E93)</f>
        <v>1</v>
      </c>
      <c r="G93" s="38">
        <f>IF(B93="","",VLOOKUP(B93,Ressources!A:G,7,0))</f>
        <v>1.1000000000000001</v>
      </c>
      <c r="H93" s="38">
        <f t="shared" si="14"/>
        <v>1.1000000000000001</v>
      </c>
    </row>
    <row r="94" spans="1:9" ht="16.5" thickBot="1" x14ac:dyDescent="0.3">
      <c r="C94" s="23" t="str">
        <f>IF(B94="","",VLOOKUP(B94,Ressources!A:E,5,0))</f>
        <v/>
      </c>
      <c r="D94" s="26" t="str">
        <f>IF(B94="","",VLOOKUP(B94,Ressources!A:F,6,0))</f>
        <v/>
      </c>
      <c r="F94" s="26" t="str">
        <f>IF(B94="","",VLOOKUP(B94,Ressources!A:H,8,0)*E94)</f>
        <v/>
      </c>
      <c r="G94" s="38" t="str">
        <f>IF(B94="","",VLOOKUP(B94,Ressources!A:G,7,0))</f>
        <v/>
      </c>
      <c r="H94" s="38" t="str">
        <f t="shared" si="14"/>
        <v/>
      </c>
    </row>
    <row r="95" spans="1:9" s="43" customFormat="1" ht="16.5" thickBot="1" x14ac:dyDescent="0.3">
      <c r="A95" s="39" t="s">
        <v>381</v>
      </c>
      <c r="B95" s="39"/>
      <c r="C95" s="39" t="s">
        <v>434</v>
      </c>
      <c r="D95" s="41" t="s">
        <v>22</v>
      </c>
      <c r="E95" s="41"/>
      <c r="F95" s="41" t="str">
        <f>IF(B95="","",VLOOKUP(B95,Ressources!A:H,8,0)*E95)</f>
        <v/>
      </c>
      <c r="G95" s="42">
        <f>SUM(H96:H97)</f>
        <v>1.6099999999999999</v>
      </c>
      <c r="H95" s="42" t="str">
        <f t="shared" si="14"/>
        <v/>
      </c>
      <c r="I95" s="42"/>
    </row>
    <row r="96" spans="1:9" x14ac:dyDescent="0.25">
      <c r="B96" s="23" t="s">
        <v>33</v>
      </c>
      <c r="C96" s="23" t="str">
        <f>IF(B96="","",VLOOKUP(B96,Ressources!A:E,5,0))</f>
        <v xml:space="preserve">Main d'œuvre ouvrier qualifié </v>
      </c>
      <c r="D96" s="26" t="str">
        <f>IF(B96="","",VLOOKUP(B96,Ressources!A:F,6,0))</f>
        <v>h</v>
      </c>
      <c r="E96" s="26">
        <v>0.03</v>
      </c>
      <c r="F96" s="26">
        <f>IF(B96="","",VLOOKUP(B96,Ressources!A:H,8,0)*E96)</f>
        <v>0.03</v>
      </c>
      <c r="G96" s="38">
        <f>IF(B96="","",VLOOKUP(B96,Ressources!A:G,7,0))</f>
        <v>32</v>
      </c>
      <c r="H96" s="38">
        <f t="shared" si="14"/>
        <v>0.96</v>
      </c>
    </row>
    <row r="97" spans="1:9" x14ac:dyDescent="0.25">
      <c r="B97" s="23" t="s">
        <v>377</v>
      </c>
      <c r="C97" s="23" t="str">
        <f>IF(B97="","",VLOOKUP(B97,Ressources!A:E,5,0))</f>
        <v>Treillis soudé standard</v>
      </c>
      <c r="D97" s="26" t="str">
        <f>IF(B97="","",VLOOKUP(B97,Ressources!A:F,6,0))</f>
        <v>kg</v>
      </c>
      <c r="E97" s="26">
        <v>1</v>
      </c>
      <c r="F97" s="26">
        <f>IF(B97="","",VLOOKUP(B97,Ressources!A:H,8,0)*E97)</f>
        <v>1.05</v>
      </c>
      <c r="G97" s="38">
        <f>IF(B97="","",VLOOKUP(B97,Ressources!A:G,7,0))</f>
        <v>0.65</v>
      </c>
      <c r="H97" s="38">
        <f t="shared" si="14"/>
        <v>0.65</v>
      </c>
    </row>
    <row r="98" spans="1:9" ht="16.5" thickBot="1" x14ac:dyDescent="0.3">
      <c r="F98" s="26" t="str">
        <f>IF(B98="","",VLOOKUP(B98,Ressources!A:H,8,0)*E98)</f>
        <v/>
      </c>
    </row>
    <row r="99" spans="1:9" s="43" customFormat="1" ht="16.5" thickBot="1" x14ac:dyDescent="0.3">
      <c r="A99" s="39" t="s">
        <v>383</v>
      </c>
      <c r="B99" s="39"/>
      <c r="C99" s="39" t="s">
        <v>384</v>
      </c>
      <c r="D99" s="41" t="s">
        <v>18</v>
      </c>
      <c r="E99" s="41"/>
      <c r="F99" s="41" t="str">
        <f>IF(B99="","",VLOOKUP(B99,Ressources!A:H,8,0)*E99)</f>
        <v/>
      </c>
      <c r="G99" s="42">
        <f>SUM(H100:H105)</f>
        <v>19.100000000000001</v>
      </c>
      <c r="H99" s="42" t="str">
        <f t="shared" ref="H99:H104" si="15">IF(B99="","",E99*G99)</f>
        <v/>
      </c>
      <c r="I99" s="42"/>
    </row>
    <row r="100" spans="1:9" x14ac:dyDescent="0.25">
      <c r="B100" s="23" t="s">
        <v>33</v>
      </c>
      <c r="C100" s="23" t="str">
        <f>IF(B100="","",VLOOKUP(B100,Ressources!A:E,5,0))</f>
        <v xml:space="preserve">Main d'œuvre ouvrier qualifié </v>
      </c>
      <c r="D100" s="26" t="str">
        <f>IF(B100="","",VLOOKUP(B100,Ressources!A:F,6,0))</f>
        <v>h</v>
      </c>
      <c r="E100" s="26">
        <v>0.3</v>
      </c>
      <c r="F100" s="26">
        <f>IF(B100="","",VLOOKUP(B100,Ressources!A:H,8,0)*E100)</f>
        <v>0.3</v>
      </c>
      <c r="G100" s="38">
        <f>IF(B100="","",VLOOKUP(B100,Ressources!A:G,7,0))</f>
        <v>32</v>
      </c>
      <c r="H100" s="38">
        <f t="shared" si="15"/>
        <v>9.6</v>
      </c>
    </row>
    <row r="101" spans="1:9" x14ac:dyDescent="0.25">
      <c r="B101" s="23" t="s">
        <v>171</v>
      </c>
      <c r="C101" s="23" t="str">
        <f>IF(B101="","",VLOOKUP(B101,Ressources!A:E,5,0))</f>
        <v>Bastaing de coffrage non traité</v>
      </c>
      <c r="D101" s="26" t="str">
        <f>IF(B101="","",VLOOKUP(B101,Ressources!A:F,6,0))</f>
        <v>m3</v>
      </c>
      <c r="E101" s="26">
        <f>0.1*0.1*1</f>
        <v>1.0000000000000002E-2</v>
      </c>
      <c r="F101" s="26">
        <f>IF(B101="","",VLOOKUP(B101,Ressources!A:H,8,0)*E101)</f>
        <v>5.000000000000001E-3</v>
      </c>
      <c r="G101" s="38">
        <f>IF(B101="","",VLOOKUP(B101,Ressources!A:G,7,0))</f>
        <v>340</v>
      </c>
      <c r="H101" s="38">
        <f t="shared" si="15"/>
        <v>3.4000000000000008</v>
      </c>
    </row>
    <row r="102" spans="1:9" x14ac:dyDescent="0.25">
      <c r="B102" s="23" t="s">
        <v>231</v>
      </c>
      <c r="C102" s="23" t="str">
        <f>IF(B102="","",VLOOKUP(B102,Ressources!A:E,5,0))</f>
        <v xml:space="preserve">Huile végétale pour démoulage </v>
      </c>
      <c r="D102" s="26" t="str">
        <f>IF(B102="","",VLOOKUP(B102,Ressources!A:F,6,0))</f>
        <v>l</v>
      </c>
      <c r="E102" s="26">
        <v>0.2</v>
      </c>
      <c r="F102" s="26">
        <f>IF(B102="","",VLOOKUP(B102,Ressources!A:H,8,0)*E102)</f>
        <v>0.22000000000000003</v>
      </c>
      <c r="G102" s="38">
        <f>IF(B102="","",VLOOKUP(B102,Ressources!A:G,7,0))</f>
        <v>5</v>
      </c>
      <c r="H102" s="38">
        <f t="shared" ref="H102" si="16">IF(B102="","",E102*G102)</f>
        <v>1</v>
      </c>
    </row>
    <row r="104" spans="1:9" x14ac:dyDescent="0.25">
      <c r="B104" s="23" t="s">
        <v>84</v>
      </c>
      <c r="C104" s="23" t="str">
        <f>IF(B104="","",VLOOKUP(B104,Ressources!A:E,5,0))</f>
        <v>Mortier standard M20</v>
      </c>
      <c r="D104" s="26" t="str">
        <f>IF(B104="","",VLOOKUP(B104,Ressources!A:F,6,0))</f>
        <v>kg</v>
      </c>
      <c r="E104" s="26">
        <f>250*0.05</f>
        <v>12.5</v>
      </c>
      <c r="F104" s="26">
        <f>IF(B104="","",VLOOKUP(B104,Ressources!A:H,8,0)*E104)</f>
        <v>13.750000000000002</v>
      </c>
      <c r="G104" s="38">
        <f>IF(B104="","",VLOOKUP(B104,Ressources!A:G,7,0))</f>
        <v>0.28000000000000003</v>
      </c>
      <c r="H104" s="38">
        <f t="shared" si="15"/>
        <v>3.5000000000000004</v>
      </c>
    </row>
    <row r="105" spans="1:9" x14ac:dyDescent="0.25">
      <c r="B105" s="23" t="s">
        <v>33</v>
      </c>
      <c r="C105" s="23" t="str">
        <f>IF(B105="","",VLOOKUP(B105,Ressources!A:E,5,0))</f>
        <v xml:space="preserve">Main d'œuvre ouvrier qualifié </v>
      </c>
      <c r="D105" s="26" t="str">
        <f>IF(B105="","",VLOOKUP(B105,Ressources!A:F,6,0))</f>
        <v>h</v>
      </c>
      <c r="E105" s="26">
        <v>0.05</v>
      </c>
      <c r="F105" s="26">
        <f>IF(B105="","",VLOOKUP(B105,Ressources!A:H,8,0)*E105)</f>
        <v>0.05</v>
      </c>
      <c r="G105" s="38">
        <f>IF(B105="","",VLOOKUP(B105,Ressources!A:G,7,0))</f>
        <v>32</v>
      </c>
      <c r="H105" s="38">
        <f t="shared" ref="H105" si="17">IF(B105="","",E105*G105)</f>
        <v>1.6</v>
      </c>
    </row>
    <row r="106" spans="1:9" ht="16.5" thickBot="1" x14ac:dyDescent="0.3">
      <c r="F106" s="26" t="str">
        <f>IF(B106="","",VLOOKUP(B106,Ressources!A:H,8,0)*E106)</f>
        <v/>
      </c>
    </row>
    <row r="107" spans="1:9" s="43" customFormat="1" ht="16.5" thickBot="1" x14ac:dyDescent="0.3">
      <c r="A107" s="39" t="s">
        <v>385</v>
      </c>
      <c r="B107" s="39"/>
      <c r="C107" s="39" t="s">
        <v>386</v>
      </c>
      <c r="D107" s="41" t="s">
        <v>20</v>
      </c>
      <c r="E107" s="41"/>
      <c r="F107" s="41" t="str">
        <f>IF(B107="","",VLOOKUP(B107,Ressources!A:H,8,0)*E107)</f>
        <v/>
      </c>
      <c r="G107" s="42">
        <f>SUM(H108:H109)</f>
        <v>7.9</v>
      </c>
      <c r="H107" s="42" t="str">
        <f t="shared" ref="H107:H109" si="18">IF(B107="","",E107*G107)</f>
        <v/>
      </c>
      <c r="I107" s="42"/>
    </row>
    <row r="108" spans="1:9" x14ac:dyDescent="0.25">
      <c r="B108" s="23" t="s">
        <v>33</v>
      </c>
      <c r="C108" s="23" t="str">
        <f>IF(B108="","",VLOOKUP(B108,Ressources!A:E,5,0))</f>
        <v xml:space="preserve">Main d'œuvre ouvrier qualifié </v>
      </c>
      <c r="D108" s="26" t="str">
        <f>IF(B108="","",VLOOKUP(B108,Ressources!A:F,6,0))</f>
        <v>h</v>
      </c>
      <c r="E108" s="26">
        <v>0.1</v>
      </c>
      <c r="F108" s="26">
        <f>IF(B108="","",VLOOKUP(B108,Ressources!A:H,8,0)*E108)</f>
        <v>0.1</v>
      </c>
      <c r="G108" s="38">
        <f>IF(B108="","",VLOOKUP(B108,Ressources!A:G,7,0))</f>
        <v>32</v>
      </c>
      <c r="H108" s="38">
        <f t="shared" si="18"/>
        <v>3.2</v>
      </c>
    </row>
    <row r="109" spans="1:9" x14ac:dyDescent="0.25">
      <c r="B109" s="23" t="s">
        <v>387</v>
      </c>
      <c r="C109" s="23" t="str">
        <f>IF(B109="","",VLOOKUP(B109,Ressources!A:E,5,0))</f>
        <v>Location surfaceuse béton</v>
      </c>
      <c r="D109" s="26" t="str">
        <f>IF(B109="","",VLOOKUP(B109,Ressources!A:F,6,0))</f>
        <v>J</v>
      </c>
      <c r="E109" s="26">
        <v>0.02</v>
      </c>
      <c r="F109" s="26">
        <f>IF(B109="","",VLOOKUP(B109,Ressources!A:H,8,0)*E109)</f>
        <v>0.02</v>
      </c>
      <c r="G109" s="38">
        <f>IF(B109="","",VLOOKUP(B109,Ressources!A:G,7,0))</f>
        <v>235</v>
      </c>
      <c r="H109" s="38">
        <f t="shared" si="18"/>
        <v>4.7</v>
      </c>
    </row>
    <row r="110" spans="1:9" ht="16.5" thickBot="1" x14ac:dyDescent="0.3">
      <c r="F110" s="26" t="str">
        <f>IF(B110="","",VLOOKUP(B110,Ressources!A:H,8,0)*E110)</f>
        <v/>
      </c>
    </row>
    <row r="111" spans="1:9" s="43" customFormat="1" ht="16.5" thickBot="1" x14ac:dyDescent="0.3">
      <c r="A111" s="39" t="s">
        <v>385</v>
      </c>
      <c r="B111" s="39"/>
      <c r="C111" s="39" t="s">
        <v>412</v>
      </c>
      <c r="D111" s="41" t="s">
        <v>20</v>
      </c>
      <c r="E111" s="41"/>
      <c r="F111" s="41" t="str">
        <f>IF(B111="","",VLOOKUP(B111,Ressources!A:H,8,0)*E111)</f>
        <v/>
      </c>
      <c r="G111" s="42">
        <f>SUM(H112:H113)</f>
        <v>12.65</v>
      </c>
      <c r="H111" s="42" t="str">
        <f t="shared" ref="H111:H113" si="19">IF(B111="","",E111*G111)</f>
        <v/>
      </c>
      <c r="I111" s="42"/>
    </row>
    <row r="112" spans="1:9" x14ac:dyDescent="0.25">
      <c r="B112" s="23" t="s">
        <v>33</v>
      </c>
      <c r="C112" s="23" t="str">
        <f>IF(B112="","",VLOOKUP(B112,Ressources!A:E,5,0))</f>
        <v xml:space="preserve">Main d'œuvre ouvrier qualifié </v>
      </c>
      <c r="D112" s="26" t="str">
        <f>IF(B112="","",VLOOKUP(B112,Ressources!A:F,6,0))</f>
        <v>h</v>
      </c>
      <c r="E112" s="26">
        <v>0.2</v>
      </c>
      <c r="F112" s="26">
        <f>IF(B112="","",VLOOKUP(B112,Ressources!A:H,8,0)*E112)</f>
        <v>0.2</v>
      </c>
      <c r="G112" s="38">
        <f>IF(B112="","",VLOOKUP(B112,Ressources!A:G,7,0))</f>
        <v>32</v>
      </c>
      <c r="H112" s="38">
        <f t="shared" si="19"/>
        <v>6.4</v>
      </c>
    </row>
    <row r="113" spans="1:9" x14ac:dyDescent="0.25">
      <c r="B113" s="23" t="s">
        <v>413</v>
      </c>
      <c r="C113" s="23" t="str">
        <f>IF(B113="","",VLOOKUP(B113,Ressources!A:E,5,0))</f>
        <v xml:space="preserve">Location hélicoptère </v>
      </c>
      <c r="D113" s="26" t="str">
        <f>IF(B113="","",VLOOKUP(B113,Ressources!A:F,6,0))</f>
        <v>J</v>
      </c>
      <c r="E113" s="26">
        <v>0.05</v>
      </c>
      <c r="F113" s="26">
        <f>IF(B113="","",VLOOKUP(B113,Ressources!A:H,8,0)*E113)</f>
        <v>0.05</v>
      </c>
      <c r="G113" s="38">
        <f>IF(B113="","",VLOOKUP(B113,Ressources!A:G,7,0))</f>
        <v>125</v>
      </c>
      <c r="H113" s="38">
        <f t="shared" si="19"/>
        <v>6.25</v>
      </c>
    </row>
    <row r="114" spans="1:9" ht="16.5" thickBot="1" x14ac:dyDescent="0.3">
      <c r="F114" s="26" t="str">
        <f>IF(B114="","",VLOOKUP(B114,Ressources!A:H,8,0)*E114)</f>
        <v/>
      </c>
    </row>
    <row r="115" spans="1:9" s="43" customFormat="1" ht="16.5" thickBot="1" x14ac:dyDescent="0.3">
      <c r="A115" s="39" t="s">
        <v>389</v>
      </c>
      <c r="B115" s="39"/>
      <c r="C115" s="39" t="s">
        <v>390</v>
      </c>
      <c r="D115" s="41" t="s">
        <v>20</v>
      </c>
      <c r="E115" s="41"/>
      <c r="F115" s="41" t="str">
        <f>IF(B115="","",VLOOKUP(B115,Ressources!A:H,8,0)*E115)</f>
        <v/>
      </c>
      <c r="G115" s="42">
        <f>SUM(H116:H117)</f>
        <v>1.86</v>
      </c>
      <c r="H115" s="42" t="str">
        <f t="shared" ref="H115:H117" si="20">IF(B115="","",E115*G115)</f>
        <v/>
      </c>
      <c r="I115" s="42"/>
    </row>
    <row r="116" spans="1:9" x14ac:dyDescent="0.25">
      <c r="B116" s="23" t="s">
        <v>33</v>
      </c>
      <c r="C116" s="23" t="str">
        <f>IF(B116="","",VLOOKUP(B116,Ressources!A:E,5,0))</f>
        <v xml:space="preserve">Main d'œuvre ouvrier qualifié </v>
      </c>
      <c r="D116" s="26" t="str">
        <f>IF(B116="","",VLOOKUP(B116,Ressources!A:F,6,0))</f>
        <v>h</v>
      </c>
      <c r="E116" s="26">
        <v>0.05</v>
      </c>
      <c r="F116" s="26">
        <f>IF(B116="","",VLOOKUP(B116,Ressources!A:H,8,0)*E116)</f>
        <v>0.05</v>
      </c>
      <c r="G116" s="38">
        <f>IF(B116="","",VLOOKUP(B116,Ressources!A:G,7,0))</f>
        <v>32</v>
      </c>
      <c r="H116" s="38">
        <f t="shared" si="20"/>
        <v>1.6</v>
      </c>
    </row>
    <row r="117" spans="1:9" x14ac:dyDescent="0.25">
      <c r="B117" s="23" t="s">
        <v>287</v>
      </c>
      <c r="C117" s="23" t="str">
        <f>IF(B117="","",VLOOKUP(B117,Ressources!A:E,5,0))</f>
        <v>Film type 200</v>
      </c>
      <c r="D117" s="26" t="str">
        <f>IF(B117="","",VLOOKUP(B117,Ressources!A:F,6,0))</f>
        <v>m2</v>
      </c>
      <c r="E117" s="26">
        <v>1</v>
      </c>
      <c r="F117" s="26">
        <f>IF(B117="","",VLOOKUP(B117,Ressources!A:H,8,0)*E117)</f>
        <v>1.02</v>
      </c>
      <c r="G117" s="38">
        <f>IF(B117="","",VLOOKUP(B117,Ressources!A:G,7,0))</f>
        <v>0.26</v>
      </c>
      <c r="H117" s="38">
        <f t="shared" si="20"/>
        <v>0.26</v>
      </c>
    </row>
    <row r="118" spans="1:9" ht="16.5" thickBot="1" x14ac:dyDescent="0.3">
      <c r="F118" s="26" t="str">
        <f>IF(B118="","",VLOOKUP(B118,Ressources!A:H,8,0)*E118)</f>
        <v/>
      </c>
    </row>
    <row r="119" spans="1:9" s="43" customFormat="1" ht="16.5" thickBot="1" x14ac:dyDescent="0.3">
      <c r="A119" s="39" t="s">
        <v>391</v>
      </c>
      <c r="B119" s="39"/>
      <c r="C119" s="39" t="s">
        <v>398</v>
      </c>
      <c r="D119" s="41" t="s">
        <v>20</v>
      </c>
      <c r="E119" s="41"/>
      <c r="F119" s="41" t="str">
        <f>IF(B119="","",VLOOKUP(B119,Ressources!A:H,8,0)*E119)</f>
        <v/>
      </c>
      <c r="G119" s="42">
        <f>SUM(H120:H122)</f>
        <v>44.9</v>
      </c>
      <c r="H119" s="42" t="str">
        <f t="shared" ref="H119:H121" si="21">IF(B119="","",E119*G119)</f>
        <v/>
      </c>
      <c r="I119" s="42"/>
    </row>
    <row r="120" spans="1:9" x14ac:dyDescent="0.25">
      <c r="B120" s="23" t="s">
        <v>33</v>
      </c>
      <c r="C120" s="23" t="str">
        <f>IF(B120="","",VLOOKUP(B120,Ressources!A:E,5,0))</f>
        <v xml:space="preserve">Main d'œuvre ouvrier qualifié </v>
      </c>
      <c r="D120" s="26" t="str">
        <f>IF(B120="","",VLOOKUP(B120,Ressources!A:F,6,0))</f>
        <v>h</v>
      </c>
      <c r="E120" s="26">
        <v>0.3</v>
      </c>
      <c r="F120" s="26">
        <f>IF(B120="","",VLOOKUP(B120,Ressources!A:H,8,0)*E120)</f>
        <v>0.3</v>
      </c>
      <c r="G120" s="38">
        <f>IF(B120="","",VLOOKUP(B120,Ressources!A:G,7,0))</f>
        <v>32</v>
      </c>
      <c r="H120" s="38">
        <f t="shared" si="21"/>
        <v>9.6</v>
      </c>
    </row>
    <row r="121" spans="1:9" x14ac:dyDescent="0.25">
      <c r="B121" s="23" t="s">
        <v>117</v>
      </c>
      <c r="C121" s="23" t="str">
        <f>IF(B121="","",VLOOKUP(B121,Ressources!A:E,5,0))</f>
        <v>Tout venant - Vrac</v>
      </c>
      <c r="D121" s="26" t="str">
        <f>IF(B121="","",VLOOKUP(B121,Ressources!A:F,6,0))</f>
        <v>m3</v>
      </c>
      <c r="E121" s="26">
        <v>0.2</v>
      </c>
      <c r="F121" s="26">
        <f>IF(B121="","",VLOOKUP(B121,Ressources!A:H,8,0)*E121)</f>
        <v>0.22000000000000003</v>
      </c>
      <c r="G121" s="38">
        <f>IF(B121="","",VLOOKUP(B121,Ressources!A:G,7,0))</f>
        <v>54</v>
      </c>
      <c r="H121" s="38">
        <f t="shared" si="21"/>
        <v>10.8</v>
      </c>
    </row>
    <row r="122" spans="1:9" x14ac:dyDescent="0.25">
      <c r="B122" s="23" t="s">
        <v>392</v>
      </c>
      <c r="C122" s="23" t="str">
        <f>IF(B122="","",VLOOKUP(B122,Ressources!A:E,5,0))</f>
        <v>Location d'un compacteur à bras</v>
      </c>
      <c r="D122" s="26" t="str">
        <f>IF(B122="","",VLOOKUP(B122,Ressources!A:F,6,0))</f>
        <v>J</v>
      </c>
      <c r="E122" s="26">
        <v>0.1</v>
      </c>
      <c r="F122" s="26">
        <f>IF(B122="","",VLOOKUP(B122,Ressources!A:H,8,0)*E122)</f>
        <v>0.1</v>
      </c>
      <c r="G122" s="38">
        <f>IF(B122="","",VLOOKUP(B122,Ressources!A:G,7,0))</f>
        <v>245</v>
      </c>
      <c r="H122" s="38">
        <f t="shared" ref="H122" si="22">IF(B122="","",E122*G122)</f>
        <v>24.5</v>
      </c>
    </row>
    <row r="123" spans="1:9" ht="16.5" thickBot="1" x14ac:dyDescent="0.3">
      <c r="F123" s="26" t="str">
        <f>IF(B123="","",VLOOKUP(B123,Ressources!A:H,8,0)*E123)</f>
        <v/>
      </c>
    </row>
    <row r="124" spans="1:9" s="43" customFormat="1" ht="16.5" thickBot="1" x14ac:dyDescent="0.3">
      <c r="A124" s="39" t="s">
        <v>394</v>
      </c>
      <c r="B124" s="39"/>
      <c r="C124" s="39" t="s">
        <v>395</v>
      </c>
      <c r="D124" s="41" t="s">
        <v>18</v>
      </c>
      <c r="E124" s="41"/>
      <c r="F124" s="41" t="str">
        <f>IF(B124="","",VLOOKUP(B124,Ressources!A:H,8,0)*E124)</f>
        <v/>
      </c>
      <c r="G124" s="42">
        <f>SUM(H125:H127)</f>
        <v>2.4000000000000004</v>
      </c>
      <c r="H124" s="42" t="str">
        <f t="shared" ref="H124:H126" si="23">IF(B124="","",E124*G124)</f>
        <v/>
      </c>
      <c r="I124" s="42"/>
    </row>
    <row r="125" spans="1:9" x14ac:dyDescent="0.25">
      <c r="B125" s="23" t="s">
        <v>33</v>
      </c>
      <c r="C125" s="23" t="str">
        <f>IF(B125="","",VLOOKUP(B125,Ressources!A:E,5,0))</f>
        <v xml:space="preserve">Main d'œuvre ouvrier qualifié </v>
      </c>
      <c r="D125" s="26" t="str">
        <f>IF(B125="","",VLOOKUP(B125,Ressources!A:F,6,0))</f>
        <v>h</v>
      </c>
      <c r="E125" s="26">
        <v>0.05</v>
      </c>
      <c r="F125" s="26">
        <f>IF(B125="","",VLOOKUP(B125,Ressources!A:H,8,0)*E125)</f>
        <v>0.05</v>
      </c>
      <c r="G125" s="38">
        <f>IF(B125="","",VLOOKUP(B125,Ressources!A:G,7,0))</f>
        <v>32</v>
      </c>
      <c r="H125" s="38">
        <f t="shared" si="23"/>
        <v>1.6</v>
      </c>
    </row>
    <row r="126" spans="1:9" x14ac:dyDescent="0.25">
      <c r="B126" s="23" t="s">
        <v>396</v>
      </c>
      <c r="C126" s="23" t="str">
        <f>IF(B126="","",VLOOKUP(B126,Ressources!A:E,5,0))</f>
        <v xml:space="preserve">Câble terre cuivre </v>
      </c>
      <c r="D126" s="26" t="str">
        <f>IF(B126="","",VLOOKUP(B126,Ressources!A:F,6,0))</f>
        <v>ml</v>
      </c>
      <c r="E126" s="26">
        <v>1</v>
      </c>
      <c r="F126" s="26">
        <f>IF(B126="","",VLOOKUP(B126,Ressources!A:H,8,0)*E126)</f>
        <v>1</v>
      </c>
      <c r="G126" s="38">
        <f>IF(B126="","",VLOOKUP(B126,Ressources!A:G,7,0))</f>
        <v>0.8</v>
      </c>
      <c r="H126" s="38">
        <f t="shared" si="23"/>
        <v>0.8</v>
      </c>
    </row>
    <row r="127" spans="1:9" ht="16.5" thickBot="1" x14ac:dyDescent="0.3"/>
    <row r="128" spans="1:9" s="43" customFormat="1" ht="16.5" thickBot="1" x14ac:dyDescent="0.3">
      <c r="A128" s="39" t="s">
        <v>399</v>
      </c>
      <c r="B128" s="39"/>
      <c r="C128" s="39" t="s">
        <v>406</v>
      </c>
      <c r="D128" s="41" t="s">
        <v>21</v>
      </c>
      <c r="E128" s="41"/>
      <c r="F128" s="41" t="str">
        <f>IF(B128="","",VLOOKUP(B128,Ressources!A:H,8,0)*E128)</f>
        <v/>
      </c>
      <c r="G128" s="42">
        <f>SUM(H129:H130)</f>
        <v>144.30000000000001</v>
      </c>
      <c r="H128" s="42" t="str">
        <f t="shared" ref="H128:H130" si="24">IF(B128="","",E128*G128)</f>
        <v/>
      </c>
      <c r="I128" s="42"/>
    </row>
    <row r="129" spans="1:9" x14ac:dyDescent="0.25">
      <c r="B129" s="23" t="s">
        <v>33</v>
      </c>
      <c r="C129" s="23" t="str">
        <f>IF(B129="","",VLOOKUP(B129,Ressources!A:E,5,0))</f>
        <v xml:space="preserve">Main d'œuvre ouvrier qualifié </v>
      </c>
      <c r="D129" s="26" t="str">
        <f>IF(B129="","",VLOOKUP(B129,Ressources!A:F,6,0))</f>
        <v>h</v>
      </c>
      <c r="E129" s="26">
        <v>0.9</v>
      </c>
      <c r="F129" s="26">
        <f>IF(B129="","",VLOOKUP(B129,Ressources!A:H,8,0)*E129)</f>
        <v>0.9</v>
      </c>
      <c r="G129" s="38">
        <f>IF(B129="","",VLOOKUP(B129,Ressources!A:G,7,0))</f>
        <v>32</v>
      </c>
      <c r="H129" s="38">
        <f t="shared" si="24"/>
        <v>28.8</v>
      </c>
    </row>
    <row r="130" spans="1:9" x14ac:dyDescent="0.25">
      <c r="B130" s="23" t="s">
        <v>41</v>
      </c>
      <c r="C130" s="23" t="str">
        <f>IF(B130="","",VLOOKUP(B130,Ressources!A:E,5,0))</f>
        <v>Béton XC2 C20/25</v>
      </c>
      <c r="D130" s="26" t="str">
        <f>IF(B130="","",VLOOKUP(B130,Ressources!A:F,6,0))</f>
        <v>m3</v>
      </c>
      <c r="E130" s="26">
        <v>1.1000000000000001</v>
      </c>
      <c r="F130" s="26">
        <f>IF(B130="","",VLOOKUP(B130,Ressources!A:H,8,0)*E130)</f>
        <v>1.1330000000000002</v>
      </c>
      <c r="G130" s="38">
        <f>IF(B130="","",VLOOKUP(B130,Ressources!A:G,7,0))</f>
        <v>105</v>
      </c>
      <c r="H130" s="38">
        <f t="shared" si="24"/>
        <v>115.50000000000001</v>
      </c>
    </row>
    <row r="131" spans="1:9" ht="16.5" thickBot="1" x14ac:dyDescent="0.3">
      <c r="C131" s="23" t="str">
        <f>IF(B131="","",VLOOKUP(B131,Ressources!A:E,5,0))</f>
        <v/>
      </c>
      <c r="F131" s="26" t="str">
        <f>IF(B131="","",VLOOKUP(B131,Ressources!A:H,8,0)*E131)</f>
        <v/>
      </c>
    </row>
    <row r="132" spans="1:9" s="43" customFormat="1" ht="16.5" thickBot="1" x14ac:dyDescent="0.3">
      <c r="A132" s="39" t="s">
        <v>400</v>
      </c>
      <c r="B132" s="39"/>
      <c r="C132" s="39" t="s">
        <v>405</v>
      </c>
      <c r="D132" s="41" t="s">
        <v>20</v>
      </c>
      <c r="E132" s="41"/>
      <c r="F132" s="41" t="str">
        <f>IF(B132="","",VLOOKUP(B132,Ressources!A:H,8,0)*E132)</f>
        <v/>
      </c>
      <c r="G132" s="42">
        <f>SUM(H133:H135)</f>
        <v>41</v>
      </c>
      <c r="H132" s="42" t="str">
        <f t="shared" ref="H132:H135" si="25">IF(B132="","",E132*G132)</f>
        <v/>
      </c>
      <c r="I132" s="42"/>
    </row>
    <row r="133" spans="1:9" x14ac:dyDescent="0.25">
      <c r="B133" s="23" t="s">
        <v>33</v>
      </c>
      <c r="C133" s="23" t="str">
        <f>IF(B133="","",VLOOKUP(B133,Ressources!A:E,5,0))</f>
        <v xml:space="preserve">Main d'œuvre ouvrier qualifié </v>
      </c>
      <c r="D133" s="26" t="str">
        <f>IF(B133="","",VLOOKUP(B133,Ressources!A:F,6,0))</f>
        <v>h</v>
      </c>
      <c r="E133" s="26">
        <v>1</v>
      </c>
      <c r="F133" s="26">
        <f>IF(B133="","",VLOOKUP(B133,Ressources!A:H,8,0)*E133)</f>
        <v>1</v>
      </c>
      <c r="G133" s="38">
        <f>IF(B133="","",VLOOKUP(B133,Ressources!A:G,7,0))</f>
        <v>32</v>
      </c>
      <c r="H133" s="38">
        <f t="shared" si="25"/>
        <v>32</v>
      </c>
    </row>
    <row r="134" spans="1:9" x14ac:dyDescent="0.25">
      <c r="B134" s="23" t="s">
        <v>173</v>
      </c>
      <c r="C134" s="23" t="str">
        <f>IF(B134="","",VLOOKUP(B134,Ressources!A:E,5,0))</f>
        <v>Planche de coffrage non traité ep27mm</v>
      </c>
      <c r="D134" s="26" t="str">
        <f>IF(B134="","",VLOOKUP(B134,Ressources!A:F,6,0))</f>
        <v>m2</v>
      </c>
      <c r="E134" s="26">
        <v>2</v>
      </c>
      <c r="F134" s="26">
        <f>IF(B134="","",VLOOKUP(B134,Ressources!A:H,8,0)*E134)</f>
        <v>1</v>
      </c>
      <c r="G134" s="38">
        <f>IF(B134="","",VLOOKUP(B134,Ressources!A:G,7,0))</f>
        <v>3.5</v>
      </c>
      <c r="H134" s="38">
        <f t="shared" si="25"/>
        <v>7</v>
      </c>
    </row>
    <row r="135" spans="1:9" x14ac:dyDescent="0.25">
      <c r="B135" s="23" t="s">
        <v>371</v>
      </c>
      <c r="C135" s="23" t="str">
        <f>IF(B135="","",VLOOKUP(B135,Ressources!A:E,5,0))</f>
        <v>Divers petits matériaux</v>
      </c>
      <c r="D135" s="26" t="str">
        <f>IF(B135="","",VLOOKUP(B135,Ressources!A:F,6,0))</f>
        <v>ens</v>
      </c>
      <c r="E135" s="26">
        <v>1</v>
      </c>
      <c r="F135" s="26">
        <f>IF(B135="","",VLOOKUP(B135,Ressources!A:H,8,0)*E135)</f>
        <v>1</v>
      </c>
      <c r="G135" s="38">
        <f>IF(B135="","",VLOOKUP(B135,Ressources!A:G,7,0))</f>
        <v>2</v>
      </c>
      <c r="H135" s="38">
        <f t="shared" si="25"/>
        <v>2</v>
      </c>
    </row>
    <row r="136" spans="1:9" ht="16.5" thickBot="1" x14ac:dyDescent="0.3">
      <c r="C136" s="23" t="str">
        <f>IF(B136="","",VLOOKUP(B136,Ressources!A:E,5,0))</f>
        <v/>
      </c>
      <c r="F136" s="26" t="str">
        <f>IF(B136="","",VLOOKUP(B136,Ressources!A:H,8,0)*E136)</f>
        <v/>
      </c>
    </row>
    <row r="137" spans="1:9" s="43" customFormat="1" ht="16.5" thickBot="1" x14ac:dyDescent="0.3">
      <c r="A137" s="39" t="s">
        <v>401</v>
      </c>
      <c r="B137" s="39"/>
      <c r="C137" s="39" t="s">
        <v>404</v>
      </c>
      <c r="D137" s="41" t="s">
        <v>22</v>
      </c>
      <c r="E137" s="41"/>
      <c r="F137" s="41" t="str">
        <f>IF(B137="","",VLOOKUP(B137,Ressources!A:H,8,0)*E137)</f>
        <v/>
      </c>
      <c r="G137" s="42">
        <f>SUM(H138:H139)</f>
        <v>2.7</v>
      </c>
      <c r="H137" s="42" t="str">
        <f t="shared" ref="H137:H143" si="26">IF(B137="","",E137*G137)</f>
        <v/>
      </c>
      <c r="I137" s="42"/>
    </row>
    <row r="138" spans="1:9" x14ac:dyDescent="0.25">
      <c r="B138" s="23" t="s">
        <v>33</v>
      </c>
      <c r="C138" s="23" t="str">
        <f>IF(B138="","",VLOOKUP(B138,Ressources!A:E,5,0))</f>
        <v xml:space="preserve">Main d'œuvre ouvrier qualifié </v>
      </c>
      <c r="D138" s="26" t="str">
        <f>IF(B138="","",VLOOKUP(B138,Ressources!A:F,6,0))</f>
        <v>h</v>
      </c>
      <c r="E138" s="26">
        <v>0.05</v>
      </c>
      <c r="F138" s="26">
        <f>IF(B138="","",VLOOKUP(B138,Ressources!A:H,8,0)*E138)</f>
        <v>0.05</v>
      </c>
      <c r="G138" s="38">
        <f>IF(B138="","",VLOOKUP(B138,Ressources!A:G,7,0))</f>
        <v>32</v>
      </c>
      <c r="H138" s="38">
        <f t="shared" si="26"/>
        <v>1.6</v>
      </c>
    </row>
    <row r="139" spans="1:9" x14ac:dyDescent="0.25">
      <c r="B139" s="23" t="s">
        <v>133</v>
      </c>
      <c r="C139" s="23" t="str">
        <f>IF(B139="","",VLOOKUP(B139,Ressources!A:E,5,0))</f>
        <v>Acier HA coupé, façonné</v>
      </c>
      <c r="D139" s="26" t="str">
        <f>IF(B139="","",VLOOKUP(B139,Ressources!A:F,6,0))</f>
        <v>kg</v>
      </c>
      <c r="E139" s="26">
        <v>1</v>
      </c>
      <c r="F139" s="26">
        <f>IF(B139="","",VLOOKUP(B139,Ressources!A:H,8,0)*E139)</f>
        <v>1</v>
      </c>
      <c r="G139" s="38">
        <f>IF(B139="","",VLOOKUP(B139,Ressources!A:G,7,0))</f>
        <v>1.1000000000000001</v>
      </c>
      <c r="H139" s="38">
        <f t="shared" si="26"/>
        <v>1.1000000000000001</v>
      </c>
    </row>
    <row r="140" spans="1:9" ht="16.5" thickBot="1" x14ac:dyDescent="0.3">
      <c r="C140" s="23" t="str">
        <f>IF(B140="","",VLOOKUP(B140,Ressources!A:E,5,0))</f>
        <v/>
      </c>
      <c r="D140" s="26" t="str">
        <f>IF(B140="","",VLOOKUP(B140,Ressources!A:F,6,0))</f>
        <v/>
      </c>
      <c r="E140" s="26">
        <v>1</v>
      </c>
      <c r="F140" s="26" t="str">
        <f>IF(B140="","",VLOOKUP(B140,Ressources!A:H,8,0)*E140)</f>
        <v/>
      </c>
      <c r="G140" s="38" t="str">
        <f>IF(B140="","",VLOOKUP(B140,Ressources!A:G,7,0))</f>
        <v/>
      </c>
      <c r="H140" s="38" t="str">
        <f t="shared" si="26"/>
        <v/>
      </c>
    </row>
    <row r="141" spans="1:9" s="43" customFormat="1" ht="16.5" thickBot="1" x14ac:dyDescent="0.3">
      <c r="A141" s="39" t="s">
        <v>402</v>
      </c>
      <c r="B141" s="39"/>
      <c r="C141" s="39" t="s">
        <v>403</v>
      </c>
      <c r="D141" s="41" t="s">
        <v>22</v>
      </c>
      <c r="E141" s="41"/>
      <c r="F141" s="41" t="str">
        <f>IF(B141="","",VLOOKUP(B141,Ressources!A:H,8,0)*E141)</f>
        <v/>
      </c>
      <c r="G141" s="42">
        <f>SUM(H142:H143)</f>
        <v>1.6099999999999999</v>
      </c>
      <c r="H141" s="42" t="str">
        <f t="shared" si="26"/>
        <v/>
      </c>
      <c r="I141" s="42"/>
    </row>
    <row r="142" spans="1:9" x14ac:dyDescent="0.25">
      <c r="B142" s="23" t="s">
        <v>33</v>
      </c>
      <c r="C142" s="23" t="str">
        <f>IF(B142="","",VLOOKUP(B142,Ressources!A:E,5,0))</f>
        <v xml:space="preserve">Main d'œuvre ouvrier qualifié </v>
      </c>
      <c r="D142" s="26" t="str">
        <f>IF(B142="","",VLOOKUP(B142,Ressources!A:F,6,0))</f>
        <v>h</v>
      </c>
      <c r="E142" s="26">
        <v>0.03</v>
      </c>
      <c r="F142" s="26">
        <f>IF(B142="","",VLOOKUP(B142,Ressources!A:H,8,0)*E142)</f>
        <v>0.03</v>
      </c>
      <c r="G142" s="38">
        <f>IF(B142="","",VLOOKUP(B142,Ressources!A:G,7,0))</f>
        <v>32</v>
      </c>
      <c r="H142" s="38">
        <f t="shared" si="26"/>
        <v>0.96</v>
      </c>
    </row>
    <row r="143" spans="1:9" x14ac:dyDescent="0.25">
      <c r="B143" s="23" t="s">
        <v>377</v>
      </c>
      <c r="C143" s="23" t="str">
        <f>IF(B143="","",VLOOKUP(B143,Ressources!A:E,5,0))</f>
        <v>Treillis soudé standard</v>
      </c>
      <c r="D143" s="26" t="str">
        <f>IF(B143="","",VLOOKUP(B143,Ressources!A:F,6,0))</f>
        <v>kg</v>
      </c>
      <c r="E143" s="26">
        <v>1</v>
      </c>
      <c r="F143" s="26">
        <f>IF(B143="","",VLOOKUP(B143,Ressources!A:H,8,0)*E143)</f>
        <v>1.05</v>
      </c>
      <c r="G143" s="38">
        <f>IF(B143="","",VLOOKUP(B143,Ressources!A:G,7,0))</f>
        <v>0.65</v>
      </c>
      <c r="H143" s="38">
        <f t="shared" si="26"/>
        <v>0.65</v>
      </c>
    </row>
    <row r="144" spans="1:9" ht="16.5" thickBot="1" x14ac:dyDescent="0.3">
      <c r="F144" s="26" t="str">
        <f>IF(B144="","",VLOOKUP(B144,Ressources!A:H,8,0)*E144)</f>
        <v/>
      </c>
    </row>
    <row r="145" spans="1:9" s="43" customFormat="1" ht="16.5" thickBot="1" x14ac:dyDescent="0.3">
      <c r="A145" s="39" t="s">
        <v>416</v>
      </c>
      <c r="B145" s="39"/>
      <c r="C145" s="39" t="s">
        <v>417</v>
      </c>
      <c r="D145" s="41" t="s">
        <v>20</v>
      </c>
      <c r="E145" s="41"/>
      <c r="F145" s="41"/>
      <c r="G145" s="42">
        <f>SUM(H146)</f>
        <v>4.8</v>
      </c>
      <c r="H145" s="42"/>
      <c r="I145" s="42"/>
    </row>
    <row r="146" spans="1:9" x14ac:dyDescent="0.25">
      <c r="B146" s="23" t="s">
        <v>33</v>
      </c>
      <c r="C146" s="23" t="str">
        <f>IF(B146="","",VLOOKUP(B146,Ressources!A:E,5,0))</f>
        <v xml:space="preserve">Main d'œuvre ouvrier qualifié </v>
      </c>
      <c r="D146" s="26" t="str">
        <f>IF(B146="","",VLOOKUP(B146,Ressources!A:F,6,0))</f>
        <v>h</v>
      </c>
      <c r="E146" s="26">
        <v>0.15</v>
      </c>
      <c r="F146" s="26">
        <f>IF(B146="","",VLOOKUP(B146,Ressources!A:H,8,0)*E146)</f>
        <v>0.15</v>
      </c>
      <c r="G146" s="38">
        <f>IF(B146="","",VLOOKUP(B146,Ressources!A:G,7,0))</f>
        <v>32</v>
      </c>
      <c r="H146" s="38">
        <f t="shared" ref="H146" si="27">IF(B146="","",E146*G146)</f>
        <v>4.8</v>
      </c>
    </row>
    <row r="147" spans="1:9" ht="16.5" thickBot="1" x14ac:dyDescent="0.3"/>
    <row r="148" spans="1:9" s="43" customFormat="1" ht="16.5" thickBot="1" x14ac:dyDescent="0.3">
      <c r="A148" s="39" t="s">
        <v>408</v>
      </c>
      <c r="B148" s="39"/>
      <c r="C148" s="39" t="s">
        <v>407</v>
      </c>
      <c r="D148" s="41" t="s">
        <v>21</v>
      </c>
      <c r="E148" s="41"/>
      <c r="F148" s="41" t="str">
        <f>IF(B148="","",VLOOKUP(B148,Ressources!A:H,8,0)*E148)</f>
        <v/>
      </c>
      <c r="G148" s="42">
        <f>SUM(H149:H150)</f>
        <v>144.30000000000001</v>
      </c>
      <c r="H148" s="42" t="str">
        <f t="shared" ref="H148:H150" si="28">IF(B148="","",E148*G148)</f>
        <v/>
      </c>
      <c r="I148" s="42"/>
    </row>
    <row r="149" spans="1:9" x14ac:dyDescent="0.25">
      <c r="B149" s="23" t="s">
        <v>33</v>
      </c>
      <c r="C149" s="23" t="str">
        <f>IF(B149="","",VLOOKUP(B149,Ressources!A:E,5,0))</f>
        <v xml:space="preserve">Main d'œuvre ouvrier qualifié </v>
      </c>
      <c r="D149" s="26" t="str">
        <f>IF(B149="","",VLOOKUP(B149,Ressources!A:F,6,0))</f>
        <v>h</v>
      </c>
      <c r="E149" s="26">
        <v>0.9</v>
      </c>
      <c r="F149" s="26">
        <f>IF(B149="","",VLOOKUP(B149,Ressources!A:H,8,0)*E149)</f>
        <v>0.9</v>
      </c>
      <c r="G149" s="38">
        <f>IF(B149="","",VLOOKUP(B149,Ressources!A:G,7,0))</f>
        <v>32</v>
      </c>
      <c r="H149" s="38">
        <f t="shared" si="28"/>
        <v>28.8</v>
      </c>
    </row>
    <row r="150" spans="1:9" x14ac:dyDescent="0.25">
      <c r="B150" s="23" t="s">
        <v>41</v>
      </c>
      <c r="C150" s="23" t="str">
        <f>IF(B150="","",VLOOKUP(B150,Ressources!A:E,5,0))</f>
        <v>Béton XC2 C20/25</v>
      </c>
      <c r="D150" s="26" t="str">
        <f>IF(B150="","",VLOOKUP(B150,Ressources!A:F,6,0))</f>
        <v>m3</v>
      </c>
      <c r="E150" s="26">
        <v>1.1000000000000001</v>
      </c>
      <c r="F150" s="26">
        <f>IF(B150="","",VLOOKUP(B150,Ressources!A:H,8,0)*E150)</f>
        <v>1.1330000000000002</v>
      </c>
      <c r="G150" s="38">
        <f>IF(B150="","",VLOOKUP(B150,Ressources!A:G,7,0))</f>
        <v>105</v>
      </c>
      <c r="H150" s="38">
        <f t="shared" si="28"/>
        <v>115.50000000000001</v>
      </c>
    </row>
    <row r="151" spans="1:9" ht="16.5" thickBot="1" x14ac:dyDescent="0.3">
      <c r="F151" s="26" t="str">
        <f>IF(B151="","",VLOOKUP(B151,Ressources!A:H,8,0)*E151)</f>
        <v/>
      </c>
    </row>
    <row r="152" spans="1:9" s="43" customFormat="1" ht="16.5" thickBot="1" x14ac:dyDescent="0.3">
      <c r="A152" s="39" t="s">
        <v>409</v>
      </c>
      <c r="B152" s="39"/>
      <c r="C152" s="39" t="s">
        <v>405</v>
      </c>
      <c r="D152" s="41" t="s">
        <v>20</v>
      </c>
      <c r="E152" s="41"/>
      <c r="F152" s="41" t="str">
        <f>IF(B152="","",VLOOKUP(B152,Ressources!A:H,8,0)*E152)</f>
        <v/>
      </c>
      <c r="G152" s="42">
        <f>SUM(H153:H155)</f>
        <v>41</v>
      </c>
      <c r="H152" s="42" t="str">
        <f t="shared" ref="H152:H155" si="29">IF(B152="","",E152*G152)</f>
        <v/>
      </c>
      <c r="I152" s="42"/>
    </row>
    <row r="153" spans="1:9" x14ac:dyDescent="0.25">
      <c r="B153" s="23" t="s">
        <v>33</v>
      </c>
      <c r="C153" s="23" t="str">
        <f>IF(B153="","",VLOOKUP(B153,Ressources!A:E,5,0))</f>
        <v xml:space="preserve">Main d'œuvre ouvrier qualifié </v>
      </c>
      <c r="D153" s="26" t="str">
        <f>IF(B153="","",VLOOKUP(B153,Ressources!A:F,6,0))</f>
        <v>h</v>
      </c>
      <c r="E153" s="26">
        <v>1</v>
      </c>
      <c r="F153" s="26">
        <f>IF(B153="","",VLOOKUP(B153,Ressources!A:H,8,0)*E153)</f>
        <v>1</v>
      </c>
      <c r="G153" s="38">
        <f>IF(B153="","",VLOOKUP(B153,Ressources!A:G,7,0))</f>
        <v>32</v>
      </c>
      <c r="H153" s="38">
        <f t="shared" si="29"/>
        <v>32</v>
      </c>
    </row>
    <row r="154" spans="1:9" x14ac:dyDescent="0.25">
      <c r="B154" s="23" t="s">
        <v>173</v>
      </c>
      <c r="C154" s="23" t="str">
        <f>IF(B154="","",VLOOKUP(B154,Ressources!A:E,5,0))</f>
        <v>Planche de coffrage non traité ep27mm</v>
      </c>
      <c r="D154" s="26" t="str">
        <f>IF(B154="","",VLOOKUP(B154,Ressources!A:F,6,0))</f>
        <v>m2</v>
      </c>
      <c r="E154" s="26">
        <v>2</v>
      </c>
      <c r="F154" s="26">
        <f>IF(B154="","",VLOOKUP(B154,Ressources!A:H,8,0)*E154)</f>
        <v>1</v>
      </c>
      <c r="G154" s="38">
        <f>IF(B154="","",VLOOKUP(B154,Ressources!A:G,7,0))</f>
        <v>3.5</v>
      </c>
      <c r="H154" s="38">
        <f t="shared" si="29"/>
        <v>7</v>
      </c>
    </row>
    <row r="155" spans="1:9" x14ac:dyDescent="0.25">
      <c r="B155" s="23" t="s">
        <v>371</v>
      </c>
      <c r="C155" s="23" t="str">
        <f>IF(B155="","",VLOOKUP(B155,Ressources!A:E,5,0))</f>
        <v>Divers petits matériaux</v>
      </c>
      <c r="D155" s="26" t="str">
        <f>IF(B155="","",VLOOKUP(B155,Ressources!A:F,6,0))</f>
        <v>ens</v>
      </c>
      <c r="E155" s="26">
        <v>1</v>
      </c>
      <c r="F155" s="26">
        <f>IF(B155="","",VLOOKUP(B155,Ressources!A:H,8,0)*E155)</f>
        <v>1</v>
      </c>
      <c r="G155" s="38">
        <f>IF(B155="","",VLOOKUP(B155,Ressources!A:G,7,0))</f>
        <v>2</v>
      </c>
      <c r="H155" s="38">
        <f t="shared" si="29"/>
        <v>2</v>
      </c>
    </row>
    <row r="156" spans="1:9" ht="16.5" thickBot="1" x14ac:dyDescent="0.3">
      <c r="C156" s="23" t="str">
        <f>IF(B156="","",VLOOKUP(B156,Ressources!A:E,5,0))</f>
        <v/>
      </c>
      <c r="F156" s="26" t="str">
        <f>IF(B156="","",VLOOKUP(B156,Ressources!A:H,8,0)*E156)</f>
        <v/>
      </c>
    </row>
    <row r="157" spans="1:9" s="43" customFormat="1" ht="16.5" thickBot="1" x14ac:dyDescent="0.3">
      <c r="A157" s="39" t="s">
        <v>410</v>
      </c>
      <c r="B157" s="39"/>
      <c r="C157" s="39" t="s">
        <v>404</v>
      </c>
      <c r="D157" s="41" t="s">
        <v>22</v>
      </c>
      <c r="E157" s="41"/>
      <c r="F157" s="41" t="str">
        <f>IF(B157="","",VLOOKUP(B157,Ressources!A:H,8,0)*E157)</f>
        <v/>
      </c>
      <c r="G157" s="42">
        <f>SUM(H158:H159)</f>
        <v>2.7</v>
      </c>
      <c r="H157" s="42" t="str">
        <f t="shared" ref="H157:H163" si="30">IF(B157="","",E157*G157)</f>
        <v/>
      </c>
      <c r="I157" s="42"/>
    </row>
    <row r="158" spans="1:9" x14ac:dyDescent="0.25">
      <c r="B158" s="23" t="s">
        <v>33</v>
      </c>
      <c r="C158" s="23" t="str">
        <f>IF(B158="","",VLOOKUP(B158,Ressources!A:E,5,0))</f>
        <v xml:space="preserve">Main d'œuvre ouvrier qualifié </v>
      </c>
      <c r="D158" s="26" t="str">
        <f>IF(B158="","",VLOOKUP(B158,Ressources!A:F,6,0))</f>
        <v>h</v>
      </c>
      <c r="E158" s="26">
        <v>0.05</v>
      </c>
      <c r="F158" s="26">
        <f>IF(B158="","",VLOOKUP(B158,Ressources!A:H,8,0)*E158)</f>
        <v>0.05</v>
      </c>
      <c r="G158" s="38">
        <f>IF(B158="","",VLOOKUP(B158,Ressources!A:G,7,0))</f>
        <v>32</v>
      </c>
      <c r="H158" s="38">
        <f t="shared" si="30"/>
        <v>1.6</v>
      </c>
    </row>
    <row r="159" spans="1:9" x14ac:dyDescent="0.25">
      <c r="B159" s="23" t="s">
        <v>133</v>
      </c>
      <c r="C159" s="23" t="str">
        <f>IF(B159="","",VLOOKUP(B159,Ressources!A:E,5,0))</f>
        <v>Acier HA coupé, façonné</v>
      </c>
      <c r="D159" s="26" t="str">
        <f>IF(B159="","",VLOOKUP(B159,Ressources!A:F,6,0))</f>
        <v>kg</v>
      </c>
      <c r="E159" s="26">
        <v>1</v>
      </c>
      <c r="F159" s="26">
        <f>IF(B159="","",VLOOKUP(B159,Ressources!A:H,8,0)*E159)</f>
        <v>1</v>
      </c>
      <c r="G159" s="38">
        <f>IF(B159="","",VLOOKUP(B159,Ressources!A:G,7,0))</f>
        <v>1.1000000000000001</v>
      </c>
      <c r="H159" s="38">
        <f t="shared" si="30"/>
        <v>1.1000000000000001</v>
      </c>
    </row>
    <row r="160" spans="1:9" ht="16.5" thickBot="1" x14ac:dyDescent="0.3">
      <c r="C160" s="23" t="str">
        <f>IF(B160="","",VLOOKUP(B160,Ressources!A:E,5,0))</f>
        <v/>
      </c>
      <c r="D160" s="26" t="str">
        <f>IF(B160="","",VLOOKUP(B160,Ressources!A:F,6,0))</f>
        <v/>
      </c>
      <c r="E160" s="26">
        <v>1</v>
      </c>
      <c r="F160" s="26" t="str">
        <f>IF(B160="","",VLOOKUP(B160,Ressources!A:H,8,0)*E160)</f>
        <v/>
      </c>
      <c r="G160" s="38" t="str">
        <f>IF(B160="","",VLOOKUP(B160,Ressources!A:G,7,0))</f>
        <v/>
      </c>
      <c r="H160" s="38" t="str">
        <f t="shared" si="30"/>
        <v/>
      </c>
    </row>
    <row r="161" spans="1:9" s="43" customFormat="1" ht="16.5" thickBot="1" x14ac:dyDescent="0.3">
      <c r="A161" s="39" t="s">
        <v>411</v>
      </c>
      <c r="B161" s="39"/>
      <c r="C161" s="39" t="s">
        <v>403</v>
      </c>
      <c r="D161" s="41" t="s">
        <v>22</v>
      </c>
      <c r="E161" s="41"/>
      <c r="F161" s="41" t="str">
        <f>IF(B161="","",VLOOKUP(B161,Ressources!A:H,8,0)*E161)</f>
        <v/>
      </c>
      <c r="G161" s="42">
        <f>SUM(H162:H163)</f>
        <v>1.6099999999999999</v>
      </c>
      <c r="H161" s="42" t="str">
        <f t="shared" si="30"/>
        <v/>
      </c>
      <c r="I161" s="42"/>
    </row>
    <row r="162" spans="1:9" x14ac:dyDescent="0.25">
      <c r="B162" s="23" t="s">
        <v>33</v>
      </c>
      <c r="C162" s="23" t="str">
        <f>IF(B162="","",VLOOKUP(B162,Ressources!A:E,5,0))</f>
        <v xml:space="preserve">Main d'œuvre ouvrier qualifié </v>
      </c>
      <c r="D162" s="26" t="str">
        <f>IF(B162="","",VLOOKUP(B162,Ressources!A:F,6,0))</f>
        <v>h</v>
      </c>
      <c r="E162" s="26">
        <v>0.03</v>
      </c>
      <c r="F162" s="26">
        <f>IF(B162="","",VLOOKUP(B162,Ressources!A:H,8,0)*E162)</f>
        <v>0.03</v>
      </c>
      <c r="G162" s="38">
        <f>IF(B162="","",VLOOKUP(B162,Ressources!A:G,7,0))</f>
        <v>32</v>
      </c>
      <c r="H162" s="38">
        <f t="shared" si="30"/>
        <v>0.96</v>
      </c>
    </row>
    <row r="163" spans="1:9" x14ac:dyDescent="0.25">
      <c r="B163" s="23" t="s">
        <v>377</v>
      </c>
      <c r="C163" s="23" t="str">
        <f>IF(B163="","",VLOOKUP(B163,Ressources!A:E,5,0))</f>
        <v>Treillis soudé standard</v>
      </c>
      <c r="D163" s="26" t="str">
        <f>IF(B163="","",VLOOKUP(B163,Ressources!A:F,6,0))</f>
        <v>kg</v>
      </c>
      <c r="E163" s="26">
        <v>1</v>
      </c>
      <c r="F163" s="26">
        <f>IF(B163="","",VLOOKUP(B163,Ressources!A:H,8,0)*E163)</f>
        <v>1.05</v>
      </c>
      <c r="G163" s="38">
        <f>IF(B163="","",VLOOKUP(B163,Ressources!A:G,7,0))</f>
        <v>0.65</v>
      </c>
      <c r="H163" s="38">
        <f t="shared" si="30"/>
        <v>0.65</v>
      </c>
    </row>
    <row r="164" spans="1:9" ht="16.5" thickBot="1" x14ac:dyDescent="0.3">
      <c r="F164" s="26" t="str">
        <f>IF(B164="","",VLOOKUP(B164,Ressources!A:H,8,0)*E164)</f>
        <v/>
      </c>
    </row>
    <row r="165" spans="1:9" s="43" customFormat="1" ht="16.5" thickBot="1" x14ac:dyDescent="0.3">
      <c r="A165" s="39" t="s">
        <v>418</v>
      </c>
      <c r="B165" s="39"/>
      <c r="C165" s="39" t="s">
        <v>419</v>
      </c>
      <c r="D165" s="41" t="s">
        <v>20</v>
      </c>
      <c r="E165" s="41"/>
      <c r="F165" s="41" t="str">
        <f>IF(B165="","",VLOOKUP(B165,Ressources!A:H,8,0)*E165)</f>
        <v/>
      </c>
      <c r="G165" s="42">
        <f>SUM(H166:H167)</f>
        <v>5</v>
      </c>
      <c r="H165" s="42" t="str">
        <f t="shared" ref="H165:H167" si="31">IF(B165="","",E165*G165)</f>
        <v/>
      </c>
      <c r="I165" s="42"/>
    </row>
    <row r="166" spans="1:9" x14ac:dyDescent="0.25">
      <c r="B166" s="23" t="s">
        <v>33</v>
      </c>
      <c r="C166" s="23" t="str">
        <f>IF(B166="","",VLOOKUP(B166,Ressources!A:E,5,0))</f>
        <v xml:space="preserve">Main d'œuvre ouvrier qualifié </v>
      </c>
      <c r="D166" s="26" t="str">
        <f>IF(B166="","",VLOOKUP(B166,Ressources!A:F,6,0))</f>
        <v>h</v>
      </c>
      <c r="E166" s="26">
        <v>0.1</v>
      </c>
      <c r="F166" s="26">
        <f>IF(B166="","",VLOOKUP(B166,Ressources!A:H,8,0)*E166)</f>
        <v>0.1</v>
      </c>
      <c r="G166" s="38">
        <f>IF(B166="","",VLOOKUP(B166,Ressources!A:G,7,0))</f>
        <v>32</v>
      </c>
      <c r="H166" s="38">
        <f t="shared" si="31"/>
        <v>3.2</v>
      </c>
    </row>
    <row r="167" spans="1:9" x14ac:dyDescent="0.25">
      <c r="B167" s="23" t="s">
        <v>258</v>
      </c>
      <c r="C167" s="23" t="str">
        <f>IF(B167="","",VLOOKUP(B167,Ressources!A:E,5,0))</f>
        <v>Bitume d'imperméabilisation des parois enterrées</v>
      </c>
      <c r="D167" s="26" t="str">
        <f>IF(B167="","",VLOOKUP(B167,Ressources!A:F,6,0))</f>
        <v>l</v>
      </c>
      <c r="E167" s="26">
        <v>0.6</v>
      </c>
      <c r="F167" s="26">
        <f>IF(B167="","",VLOOKUP(B167,Ressources!A:H,8,0)*E167)</f>
        <v>0.66</v>
      </c>
      <c r="G167" s="38">
        <f>IF(B167="","",VLOOKUP(B167,Ressources!A:G,7,0))</f>
        <v>3</v>
      </c>
      <c r="H167" s="38">
        <f t="shared" si="31"/>
        <v>1.7999999999999998</v>
      </c>
    </row>
    <row r="168" spans="1:9" ht="16.5" thickBot="1" x14ac:dyDescent="0.3"/>
    <row r="169" spans="1:9" s="43" customFormat="1" ht="16.5" thickBot="1" x14ac:dyDescent="0.3">
      <c r="A169" s="39" t="s">
        <v>262</v>
      </c>
      <c r="B169" s="39"/>
      <c r="C169" s="39" t="s">
        <v>420</v>
      </c>
      <c r="D169" s="41" t="s">
        <v>20</v>
      </c>
      <c r="E169" s="41"/>
      <c r="F169" s="41" t="str">
        <f>IF(B169="","",VLOOKUP(B169,Ressources!A:H,8,0)*E169)</f>
        <v/>
      </c>
      <c r="G169" s="42">
        <f>SUM(H170:H172)</f>
        <v>12.100000000000001</v>
      </c>
      <c r="H169" s="42" t="str">
        <f t="shared" ref="H169:H171" si="32">IF(B169="","",E169*G169)</f>
        <v/>
      </c>
      <c r="I169" s="42"/>
    </row>
    <row r="170" spans="1:9" x14ac:dyDescent="0.25">
      <c r="B170" s="23" t="s">
        <v>33</v>
      </c>
      <c r="C170" s="23" t="str">
        <f>IF(B170="","",VLOOKUP(B170,Ressources!A:E,5,0))</f>
        <v xml:space="preserve">Main d'œuvre ouvrier qualifié </v>
      </c>
      <c r="D170" s="26" t="str">
        <f>IF(B170="","",VLOOKUP(B170,Ressources!A:F,6,0))</f>
        <v>h</v>
      </c>
      <c r="E170" s="26">
        <v>0.1</v>
      </c>
      <c r="F170" s="26">
        <f>IF(B170="","",VLOOKUP(B170,Ressources!A:H,8,0)*E170)</f>
        <v>0.1</v>
      </c>
      <c r="G170" s="38">
        <f>IF(B170="","",VLOOKUP(B170,Ressources!A:G,7,0))</f>
        <v>32</v>
      </c>
      <c r="H170" s="38">
        <f t="shared" si="32"/>
        <v>3.2</v>
      </c>
    </row>
    <row r="171" spans="1:9" x14ac:dyDescent="0.25">
      <c r="B171" s="23" t="s">
        <v>262</v>
      </c>
      <c r="C171" s="23" t="str">
        <f>IF(B171="","",VLOOKUP(B171,Ressources!A:E,5,0))</f>
        <v xml:space="preserve">Enkadrain CKL10B </v>
      </c>
      <c r="D171" s="26" t="str">
        <f>IF(B171="","",VLOOKUP(B171,Ressources!A:F,6,0))</f>
        <v>m2</v>
      </c>
      <c r="E171" s="26">
        <v>1</v>
      </c>
      <c r="F171" s="26">
        <f>IF(B171="","",VLOOKUP(B171,Ressources!A:H,8,0)*E171)</f>
        <v>1</v>
      </c>
      <c r="G171" s="38">
        <f>IF(B171="","",VLOOKUP(B171,Ressources!A:G,7,0))</f>
        <v>8.15</v>
      </c>
      <c r="H171" s="38">
        <f t="shared" si="32"/>
        <v>8.15</v>
      </c>
    </row>
    <row r="172" spans="1:9" x14ac:dyDescent="0.25">
      <c r="B172" s="23" t="s">
        <v>266</v>
      </c>
      <c r="C172" s="23" t="str">
        <f>IF(B172="","",VLOOKUP(B172,Ressources!A:E,5,0))</f>
        <v>Rondelle et fixations enkadrain</v>
      </c>
      <c r="D172" s="26" t="str">
        <f>IF(B172="","",VLOOKUP(B172,Ressources!A:F,6,0))</f>
        <v>u</v>
      </c>
      <c r="E172" s="26">
        <v>5</v>
      </c>
      <c r="F172" s="26">
        <f>IF(B172="","",VLOOKUP(B172,Ressources!A:H,8,0)*E172)</f>
        <v>5</v>
      </c>
      <c r="G172" s="38">
        <f>IF(B172="","",VLOOKUP(B172,Ressources!A:G,7,0))</f>
        <v>0.15</v>
      </c>
      <c r="H172" s="38">
        <f t="shared" ref="H172" si="33">IF(B172="","",E172*G172)</f>
        <v>0.75</v>
      </c>
    </row>
    <row r="173" spans="1:9" ht="16.5" thickBot="1" x14ac:dyDescent="0.3"/>
    <row r="174" spans="1:9" s="43" customFormat="1" ht="16.5" thickBot="1" x14ac:dyDescent="0.3">
      <c r="A174" s="39" t="s">
        <v>421</v>
      </c>
      <c r="B174" s="39"/>
      <c r="C174" s="39" t="s">
        <v>422</v>
      </c>
      <c r="D174" s="41" t="s">
        <v>18</v>
      </c>
      <c r="E174" s="41"/>
      <c r="F174" s="41" t="str">
        <f>IF(B174="","",VLOOKUP(B174,Ressources!A:H,8,0)*E174)</f>
        <v/>
      </c>
      <c r="G174" s="42">
        <f>SUM(H175:H176)</f>
        <v>5.7</v>
      </c>
      <c r="H174" s="42" t="str">
        <f t="shared" ref="H174:H176" si="34">IF(B174="","",E174*G174)</f>
        <v/>
      </c>
      <c r="I174" s="42"/>
    </row>
    <row r="175" spans="1:9" x14ac:dyDescent="0.25">
      <c r="B175" s="23" t="s">
        <v>33</v>
      </c>
      <c r="C175" s="23" t="str">
        <f>IF(B175="","",VLOOKUP(B175,Ressources!A:E,5,0))</f>
        <v xml:space="preserve">Main d'œuvre ouvrier qualifié </v>
      </c>
      <c r="D175" s="26" t="str">
        <f>IF(B175="","",VLOOKUP(B175,Ressources!A:F,6,0))</f>
        <v>h</v>
      </c>
      <c r="E175" s="26">
        <v>0.1</v>
      </c>
      <c r="F175" s="26">
        <f>IF(B175="","",VLOOKUP(B175,Ressources!A:H,8,0)*E175)</f>
        <v>0.1</v>
      </c>
      <c r="G175" s="38">
        <f>IF(B175="","",VLOOKUP(B175,Ressources!A:G,7,0))</f>
        <v>32</v>
      </c>
      <c r="H175" s="38">
        <f t="shared" si="34"/>
        <v>3.2</v>
      </c>
    </row>
    <row r="176" spans="1:9" x14ac:dyDescent="0.25">
      <c r="B176" s="23" t="s">
        <v>264</v>
      </c>
      <c r="C176" s="23" t="str">
        <f>IF(B176="","",VLOOKUP(B176,Ressources!A:E,5,0))</f>
        <v>Profil pour enkadrain</v>
      </c>
      <c r="D176" s="26" t="str">
        <f>IF(B176="","",VLOOKUP(B176,Ressources!A:F,6,0))</f>
        <v>ml</v>
      </c>
      <c r="E176" s="26">
        <v>1</v>
      </c>
      <c r="F176" s="26">
        <f>IF(B176="","",VLOOKUP(B176,Ressources!A:H,8,0)*E176)</f>
        <v>1</v>
      </c>
      <c r="G176" s="38">
        <f>IF(B176="","",VLOOKUP(B176,Ressources!A:G,7,0))</f>
        <v>2.5</v>
      </c>
      <c r="H176" s="38">
        <f t="shared" si="34"/>
        <v>2.5</v>
      </c>
    </row>
    <row r="177" spans="1:9" ht="16.5" thickBot="1" x14ac:dyDescent="0.3"/>
    <row r="178" spans="1:9" s="43" customFormat="1" ht="16.5" thickBot="1" x14ac:dyDescent="0.3">
      <c r="A178" s="39" t="s">
        <v>383</v>
      </c>
      <c r="B178" s="39"/>
      <c r="C178" s="39" t="s">
        <v>423</v>
      </c>
      <c r="D178" s="41" t="s">
        <v>18</v>
      </c>
      <c r="E178" s="41"/>
      <c r="F178" s="41" t="str">
        <f>IF(B178="","",VLOOKUP(B178,Ressources!A:H,8,0)*E178)</f>
        <v/>
      </c>
      <c r="G178" s="42">
        <f>SUM(H179:H181)</f>
        <v>34.299999999999997</v>
      </c>
      <c r="H178" s="42" t="str">
        <f t="shared" ref="H178:H180" si="35">IF(B178="","",E178*G178)</f>
        <v/>
      </c>
      <c r="I178" s="42"/>
    </row>
    <row r="179" spans="1:9" x14ac:dyDescent="0.25">
      <c r="B179" s="23" t="s">
        <v>33</v>
      </c>
      <c r="C179" s="23" t="str">
        <f>IF(B179="","",VLOOKUP(B179,Ressources!A:E,5,0))</f>
        <v xml:space="preserve">Main d'œuvre ouvrier qualifié </v>
      </c>
      <c r="D179" s="26" t="str">
        <f>IF(B179="","",VLOOKUP(B179,Ressources!A:F,6,0))</f>
        <v>h</v>
      </c>
      <c r="E179" s="26">
        <v>0.7</v>
      </c>
      <c r="F179" s="26">
        <f>IF(B179="","",VLOOKUP(B179,Ressources!A:H,8,0)*E179)</f>
        <v>0.7</v>
      </c>
      <c r="G179" s="38">
        <f>IF(B179="","",VLOOKUP(B179,Ressources!A:G,7,0))</f>
        <v>32</v>
      </c>
      <c r="H179" s="38">
        <f t="shared" si="35"/>
        <v>22.4</v>
      </c>
    </row>
    <row r="180" spans="1:9" x14ac:dyDescent="0.25">
      <c r="B180" s="23" t="s">
        <v>41</v>
      </c>
      <c r="C180" s="23" t="str">
        <f>IF(B180="","",VLOOKUP(B180,Ressources!A:E,5,0))</f>
        <v>Béton XC2 C20/25</v>
      </c>
      <c r="D180" s="26" t="str">
        <f>IF(B180="","",VLOOKUP(B180,Ressources!A:F,6,0))</f>
        <v>m3</v>
      </c>
      <c r="E180" s="26">
        <v>0.1</v>
      </c>
      <c r="F180" s="26">
        <f>IF(B180="","",VLOOKUP(B180,Ressources!A:H,8,0)*E180)</f>
        <v>0.10300000000000001</v>
      </c>
      <c r="G180" s="38">
        <f>IF(B180="","",VLOOKUP(B180,Ressources!A:G,7,0))</f>
        <v>105</v>
      </c>
      <c r="H180" s="38">
        <f t="shared" si="35"/>
        <v>10.5</v>
      </c>
    </row>
    <row r="181" spans="1:9" x14ac:dyDescent="0.25">
      <c r="B181" s="23" t="s">
        <v>173</v>
      </c>
      <c r="C181" s="23" t="str">
        <f>IF(B181="","",VLOOKUP(B181,Ressources!A:E,5,0))</f>
        <v>Planche de coffrage non traité ep27mm</v>
      </c>
      <c r="D181" s="26" t="str">
        <f>IF(B181="","",VLOOKUP(B181,Ressources!A:F,6,0))</f>
        <v>m2</v>
      </c>
      <c r="E181" s="26">
        <v>0.4</v>
      </c>
      <c r="F181" s="26">
        <f>IF(B181="","",VLOOKUP(B181,Ressources!A:H,8,0)*E181)</f>
        <v>0.2</v>
      </c>
      <c r="G181" s="38">
        <f>IF(B181="","",VLOOKUP(B181,Ressources!A:G,7,0))</f>
        <v>3.5</v>
      </c>
      <c r="H181" s="38">
        <f t="shared" ref="H181" si="36">IF(B181="","",E181*G181)</f>
        <v>1.4000000000000001</v>
      </c>
    </row>
    <row r="182" spans="1:9" ht="16.5" thickBot="1" x14ac:dyDescent="0.3"/>
    <row r="183" spans="1:9" s="43" customFormat="1" ht="16.5" thickBot="1" x14ac:dyDescent="0.3">
      <c r="A183" s="39" t="s">
        <v>424</v>
      </c>
      <c r="B183" s="39"/>
      <c r="C183" s="39" t="s">
        <v>429</v>
      </c>
      <c r="D183" s="41" t="s">
        <v>18</v>
      </c>
      <c r="E183" s="41"/>
      <c r="F183" s="41" t="str">
        <f>IF(B183="","",VLOOKUP(B183,Ressources!A:H,8,0)*E183)</f>
        <v/>
      </c>
      <c r="G183" s="42">
        <f>SUM(H184:H187)</f>
        <v>60.05</v>
      </c>
      <c r="H183" s="42" t="str">
        <f t="shared" ref="H183:H186" si="37">IF(B183="","",E183*G183)</f>
        <v/>
      </c>
      <c r="I183" s="42"/>
    </row>
    <row r="184" spans="1:9" x14ac:dyDescent="0.25">
      <c r="B184" s="23" t="s">
        <v>33</v>
      </c>
      <c r="C184" s="23" t="str">
        <f>IF(B184="","",VLOOKUP(B184,Ressources!A:E,5,0))</f>
        <v xml:space="preserve">Main d'œuvre ouvrier qualifié </v>
      </c>
      <c r="D184" s="26" t="str">
        <f>IF(B184="","",VLOOKUP(B184,Ressources!A:F,6,0))</f>
        <v>h</v>
      </c>
      <c r="E184" s="26">
        <v>0.8</v>
      </c>
      <c r="F184" s="26">
        <f>IF(B184="","",VLOOKUP(B184,Ressources!A:H,8,0)*E184)</f>
        <v>0.8</v>
      </c>
      <c r="G184" s="38">
        <f>IF(B184="","",VLOOKUP(B184,Ressources!A:G,7,0))</f>
        <v>32</v>
      </c>
      <c r="H184" s="38">
        <f t="shared" si="37"/>
        <v>25.6</v>
      </c>
    </row>
    <row r="185" spans="1:9" x14ac:dyDescent="0.25">
      <c r="B185" s="23" t="s">
        <v>425</v>
      </c>
      <c r="C185" s="23" t="str">
        <f>IF(B185="","",VLOOKUP(B185,Ressources!A:E,5,0))</f>
        <v>Tube PVC Diamètre 160mm</v>
      </c>
      <c r="D185" s="26" t="str">
        <f>IF(B185="","",VLOOKUP(B185,Ressources!A:F,6,0))</f>
        <v>ml</v>
      </c>
      <c r="E185" s="26">
        <v>1</v>
      </c>
      <c r="F185" s="26">
        <f>IF(B185="","",VLOOKUP(B185,Ressources!A:H,8,0)*E185)</f>
        <v>1</v>
      </c>
      <c r="G185" s="38">
        <f>IF(B185="","",VLOOKUP(B185,Ressources!A:G,7,0))</f>
        <v>1.05</v>
      </c>
      <c r="H185" s="38">
        <f t="shared" si="37"/>
        <v>1.05</v>
      </c>
    </row>
    <row r="186" spans="1:9" x14ac:dyDescent="0.25">
      <c r="B186" s="23" t="s">
        <v>117</v>
      </c>
      <c r="C186" s="23" t="str">
        <f>IF(B186="","",VLOOKUP(B186,Ressources!A:E,5,0))</f>
        <v>Tout venant - Vrac</v>
      </c>
      <c r="D186" s="26" t="str">
        <f>IF(B186="","",VLOOKUP(B186,Ressources!A:F,6,0))</f>
        <v>m3</v>
      </c>
      <c r="E186" s="26">
        <v>0.6</v>
      </c>
      <c r="F186" s="26">
        <f>IF(B186="","",VLOOKUP(B186,Ressources!A:H,8,0)*E186)</f>
        <v>0.66</v>
      </c>
      <c r="G186" s="38">
        <f>IF(B186="","",VLOOKUP(B186,Ressources!A:G,7,0))</f>
        <v>54</v>
      </c>
      <c r="H186" s="38">
        <f t="shared" si="37"/>
        <v>32.4</v>
      </c>
    </row>
    <row r="187" spans="1:9" x14ac:dyDescent="0.25">
      <c r="B187" s="23" t="s">
        <v>427</v>
      </c>
      <c r="C187" s="23" t="str">
        <f>IF(B187="","",VLOOKUP(B187,Ressources!A:E,5,0))</f>
        <v xml:space="preserve">Bidim type SF27 </v>
      </c>
      <c r="D187" s="26" t="str">
        <f>IF(B187="","",VLOOKUP(B187,Ressources!A:F,6,0))</f>
        <v>m2</v>
      </c>
      <c r="E187" s="26">
        <v>2</v>
      </c>
      <c r="F187" s="26">
        <f>IF(B187="","",VLOOKUP(B187,Ressources!A:H,8,0)*E187)</f>
        <v>2.1</v>
      </c>
      <c r="G187" s="38">
        <f>IF(B187="","",VLOOKUP(B187,Ressources!A:G,7,0))</f>
        <v>0.5</v>
      </c>
      <c r="H187" s="38">
        <f t="shared" ref="H187" si="38">IF(B187="","",E187*G187)</f>
        <v>1</v>
      </c>
    </row>
    <row r="188" spans="1:9" ht="16.5" thickBot="1" x14ac:dyDescent="0.3"/>
    <row r="189" spans="1:9" s="43" customFormat="1" ht="16.5" thickBot="1" x14ac:dyDescent="0.3">
      <c r="A189" s="39" t="s">
        <v>435</v>
      </c>
      <c r="B189" s="39"/>
      <c r="C189" s="39" t="s">
        <v>442</v>
      </c>
      <c r="D189" s="41" t="s">
        <v>21</v>
      </c>
      <c r="E189" s="41"/>
      <c r="F189" s="41" t="str">
        <f>IF(B189="","",VLOOKUP(B189,Ressources!A:H,8,0)*E189)</f>
        <v/>
      </c>
      <c r="G189" s="42">
        <f>SUM(H190:H191)</f>
        <v>133.80000000000001</v>
      </c>
      <c r="H189" s="42" t="str">
        <f t="shared" ref="H189:H191" si="39">IF(B189="","",E189*G189)</f>
        <v/>
      </c>
      <c r="I189" s="42"/>
    </row>
    <row r="190" spans="1:9" x14ac:dyDescent="0.25">
      <c r="B190" s="23" t="s">
        <v>33</v>
      </c>
      <c r="C190" s="23" t="str">
        <f>IF(B190="","",VLOOKUP(B190,Ressources!A:E,5,0))</f>
        <v xml:space="preserve">Main d'œuvre ouvrier qualifié </v>
      </c>
      <c r="D190" s="26" t="str">
        <f>IF(B190="","",VLOOKUP(B190,Ressources!A:F,6,0))</f>
        <v>h</v>
      </c>
      <c r="E190" s="26">
        <v>0.9</v>
      </c>
      <c r="F190" s="26">
        <f>IF(B190="","",VLOOKUP(B190,Ressources!A:H,8,0)*E190)</f>
        <v>0.9</v>
      </c>
      <c r="G190" s="38">
        <f>IF(B190="","",VLOOKUP(B190,Ressources!A:G,7,0))</f>
        <v>32</v>
      </c>
      <c r="H190" s="38">
        <f t="shared" si="39"/>
        <v>28.8</v>
      </c>
    </row>
    <row r="191" spans="1:9" x14ac:dyDescent="0.25">
      <c r="B191" s="23" t="s">
        <v>41</v>
      </c>
      <c r="C191" s="23" t="str">
        <f>IF(B191="","",VLOOKUP(B191,Ressources!A:E,5,0))</f>
        <v>Béton XC2 C20/25</v>
      </c>
      <c r="D191" s="26" t="str">
        <f>IF(B191="","",VLOOKUP(B191,Ressources!A:F,6,0))</f>
        <v>m3</v>
      </c>
      <c r="E191" s="26">
        <v>1</v>
      </c>
      <c r="F191" s="26">
        <f>IF(B191="","",VLOOKUP(B191,Ressources!A:H,8,0)*E191)</f>
        <v>1.03</v>
      </c>
      <c r="G191" s="38">
        <f>IF(B191="","",VLOOKUP(B191,Ressources!A:G,7,0))</f>
        <v>105</v>
      </c>
      <c r="H191" s="38">
        <f t="shared" si="39"/>
        <v>105</v>
      </c>
    </row>
    <row r="192" spans="1:9" ht="16.5" thickBot="1" x14ac:dyDescent="0.3">
      <c r="C192" s="23" t="str">
        <f>IF(B192="","",VLOOKUP(B192,Ressources!A:E,5,0))</f>
        <v/>
      </c>
      <c r="F192" s="26" t="str">
        <f>IF(B192="","",VLOOKUP(B192,Ressources!A:H,8,0)*E192)</f>
        <v/>
      </c>
    </row>
    <row r="193" spans="1:9" s="43" customFormat="1" ht="16.5" thickBot="1" x14ac:dyDescent="0.3">
      <c r="A193" s="39" t="s">
        <v>436</v>
      </c>
      <c r="B193" s="39"/>
      <c r="C193" s="39" t="s">
        <v>441</v>
      </c>
      <c r="D193" s="41" t="s">
        <v>20</v>
      </c>
      <c r="E193" s="41"/>
      <c r="F193" s="41" t="str">
        <f>IF(B193="","",VLOOKUP(B193,Ressources!A:H,8,0)*E193)</f>
        <v/>
      </c>
      <c r="G193" s="42">
        <f>SUM(H194:H197)</f>
        <v>56</v>
      </c>
      <c r="H193" s="42" t="str">
        <f t="shared" ref="H193:H197" si="40">IF(B193="","",E193*G193)</f>
        <v/>
      </c>
      <c r="I193" s="42"/>
    </row>
    <row r="194" spans="1:9" x14ac:dyDescent="0.25">
      <c r="B194" s="23" t="s">
        <v>33</v>
      </c>
      <c r="C194" s="23" t="str">
        <f>IF(B194="","",VLOOKUP(B194,Ressources!A:E,5,0))</f>
        <v xml:space="preserve">Main d'œuvre ouvrier qualifié </v>
      </c>
      <c r="D194" s="26" t="str">
        <f>IF(B194="","",VLOOKUP(B194,Ressources!A:F,6,0))</f>
        <v>h</v>
      </c>
      <c r="E194" s="26">
        <v>1</v>
      </c>
      <c r="F194" s="26">
        <f>IF(B194="","",VLOOKUP(B194,Ressources!A:H,8,0)*E194)</f>
        <v>1</v>
      </c>
      <c r="G194" s="38">
        <f>IF(B194="","",VLOOKUP(B194,Ressources!A:G,7,0))</f>
        <v>32</v>
      </c>
      <c r="H194" s="38">
        <f t="shared" si="40"/>
        <v>32</v>
      </c>
    </row>
    <row r="195" spans="1:9" x14ac:dyDescent="0.25">
      <c r="B195" s="23" t="s">
        <v>446</v>
      </c>
      <c r="C195" s="23" t="str">
        <f>IF(B195="","",VLOOKUP(B195,Ressources!A:E,5,0))</f>
        <v xml:space="preserve">Location banches </v>
      </c>
      <c r="D195" s="26" t="str">
        <f>IF(B195="","",VLOOKUP(B195,Ressources!A:F,6,0))</f>
        <v>m2</v>
      </c>
      <c r="E195" s="26">
        <v>1</v>
      </c>
      <c r="F195" s="26">
        <f>IF(B195="","",VLOOKUP(B195,Ressources!A:H,8,0)*E195)</f>
        <v>1</v>
      </c>
      <c r="G195" s="38">
        <f>IF(B195="","",VLOOKUP(B195,Ressources!A:G,7,0))</f>
        <v>18</v>
      </c>
      <c r="H195" s="38">
        <f t="shared" si="40"/>
        <v>18</v>
      </c>
    </row>
    <row r="196" spans="1:9" x14ac:dyDescent="0.25">
      <c r="B196" s="23" t="s">
        <v>231</v>
      </c>
      <c r="C196" s="23" t="str">
        <f>IF(B196="","",VLOOKUP(B196,Ressources!A:E,5,0))</f>
        <v xml:space="preserve">Huile végétale pour démoulage </v>
      </c>
      <c r="D196" s="26" t="str">
        <f>IF(B196="","",VLOOKUP(B196,Ressources!A:F,6,0))</f>
        <v>l</v>
      </c>
      <c r="E196" s="26">
        <v>0.2</v>
      </c>
      <c r="F196" s="26">
        <f>IF(B196="","",VLOOKUP(B196,Ressources!A:H,8,0)*E196)</f>
        <v>0.22000000000000003</v>
      </c>
      <c r="G196" s="38">
        <f>IF(B196="","",VLOOKUP(B196,Ressources!A:G,7,0))</f>
        <v>5</v>
      </c>
      <c r="H196" s="38">
        <f t="shared" si="40"/>
        <v>1</v>
      </c>
    </row>
    <row r="197" spans="1:9" x14ac:dyDescent="0.25">
      <c r="B197" s="23" t="s">
        <v>443</v>
      </c>
      <c r="C197" s="23" t="str">
        <f>IF(B197="","",VLOOKUP(B197,Ressources!A:E,5,0))</f>
        <v xml:space="preserve">Divers petits matériaux voiles </v>
      </c>
      <c r="D197" s="26" t="str">
        <f>IF(B197="","",VLOOKUP(B197,Ressources!A:F,6,0))</f>
        <v>ens</v>
      </c>
      <c r="E197" s="26">
        <v>1</v>
      </c>
      <c r="F197" s="26">
        <f>IF(B197="","",VLOOKUP(B197,Ressources!A:H,8,0)*E197)</f>
        <v>1</v>
      </c>
      <c r="G197" s="38">
        <f>IF(B197="","",VLOOKUP(B197,Ressources!A:G,7,0))</f>
        <v>5</v>
      </c>
      <c r="H197" s="38">
        <f t="shared" si="40"/>
        <v>5</v>
      </c>
    </row>
    <row r="198" spans="1:9" ht="16.5" thickBot="1" x14ac:dyDescent="0.3">
      <c r="C198" s="23" t="str">
        <f>IF(B198="","",VLOOKUP(B198,Ressources!A:E,5,0))</f>
        <v/>
      </c>
      <c r="F198" s="26" t="str">
        <f>IF(B198="","",VLOOKUP(B198,Ressources!A:H,8,0)*E198)</f>
        <v/>
      </c>
    </row>
    <row r="199" spans="1:9" s="43" customFormat="1" ht="16.5" thickBot="1" x14ac:dyDescent="0.3">
      <c r="A199" s="39" t="s">
        <v>437</v>
      </c>
      <c r="B199" s="39"/>
      <c r="C199" s="39" t="s">
        <v>440</v>
      </c>
      <c r="D199" s="41" t="s">
        <v>22</v>
      </c>
      <c r="E199" s="41"/>
      <c r="F199" s="41" t="str">
        <f>IF(B199="","",VLOOKUP(B199,Ressources!A:H,8,0)*E199)</f>
        <v/>
      </c>
      <c r="G199" s="42">
        <f>SUM(H200:H201)</f>
        <v>2.7</v>
      </c>
      <c r="H199" s="42" t="str">
        <f t="shared" ref="H199:H205" si="41">IF(B199="","",E199*G199)</f>
        <v/>
      </c>
      <c r="I199" s="42"/>
    </row>
    <row r="200" spans="1:9" x14ac:dyDescent="0.25">
      <c r="B200" s="23" t="s">
        <v>33</v>
      </c>
      <c r="C200" s="23" t="str">
        <f>IF(B200="","",VLOOKUP(B200,Ressources!A:E,5,0))</f>
        <v xml:space="preserve">Main d'œuvre ouvrier qualifié </v>
      </c>
      <c r="D200" s="26" t="str">
        <f>IF(B200="","",VLOOKUP(B200,Ressources!A:F,6,0))</f>
        <v>h</v>
      </c>
      <c r="E200" s="26">
        <v>0.05</v>
      </c>
      <c r="F200" s="26">
        <f>IF(B200="","",VLOOKUP(B200,Ressources!A:H,8,0)*E200)</f>
        <v>0.05</v>
      </c>
      <c r="G200" s="38">
        <f>IF(B200="","",VLOOKUP(B200,Ressources!A:G,7,0))</f>
        <v>32</v>
      </c>
      <c r="H200" s="38">
        <f t="shared" si="41"/>
        <v>1.6</v>
      </c>
    </row>
    <row r="201" spans="1:9" x14ac:dyDescent="0.25">
      <c r="B201" s="23" t="s">
        <v>133</v>
      </c>
      <c r="C201" s="23" t="str">
        <f>IF(B201="","",VLOOKUP(B201,Ressources!A:E,5,0))</f>
        <v>Acier HA coupé, façonné</v>
      </c>
      <c r="D201" s="26" t="str">
        <f>IF(B201="","",VLOOKUP(B201,Ressources!A:F,6,0))</f>
        <v>kg</v>
      </c>
      <c r="E201" s="26">
        <v>1</v>
      </c>
      <c r="F201" s="26">
        <f>IF(B201="","",VLOOKUP(B201,Ressources!A:H,8,0)*E201)</f>
        <v>1</v>
      </c>
      <c r="G201" s="38">
        <f>IF(B201="","",VLOOKUP(B201,Ressources!A:G,7,0))</f>
        <v>1.1000000000000001</v>
      </c>
      <c r="H201" s="38">
        <f t="shared" si="41"/>
        <v>1.1000000000000001</v>
      </c>
    </row>
    <row r="202" spans="1:9" ht="16.5" thickBot="1" x14ac:dyDescent="0.3">
      <c r="C202" s="23" t="str">
        <f>IF(B202="","",VLOOKUP(B202,Ressources!A:E,5,0))</f>
        <v/>
      </c>
      <c r="D202" s="26" t="str">
        <f>IF(B202="","",VLOOKUP(B202,Ressources!A:F,6,0))</f>
        <v/>
      </c>
      <c r="F202" s="26" t="str">
        <f>IF(B202="","",VLOOKUP(B202,Ressources!A:H,8,0)*E202)</f>
        <v/>
      </c>
      <c r="G202" s="38" t="str">
        <f>IF(B202="","",VLOOKUP(B202,Ressources!A:G,7,0))</f>
        <v/>
      </c>
      <c r="H202" s="38" t="str">
        <f t="shared" si="41"/>
        <v/>
      </c>
    </row>
    <row r="203" spans="1:9" s="43" customFormat="1" ht="16.5" thickBot="1" x14ac:dyDescent="0.3">
      <c r="A203" s="39" t="s">
        <v>438</v>
      </c>
      <c r="B203" s="39"/>
      <c r="C203" s="39" t="s">
        <v>439</v>
      </c>
      <c r="D203" s="41" t="s">
        <v>22</v>
      </c>
      <c r="E203" s="41"/>
      <c r="F203" s="41" t="str">
        <f>IF(B203="","",VLOOKUP(B203,Ressources!A:H,8,0)*E203)</f>
        <v/>
      </c>
      <c r="G203" s="42">
        <f>SUM(H204:H205)</f>
        <v>1.6099999999999999</v>
      </c>
      <c r="H203" s="42" t="str">
        <f t="shared" si="41"/>
        <v/>
      </c>
      <c r="I203" s="42"/>
    </row>
    <row r="204" spans="1:9" x14ac:dyDescent="0.25">
      <c r="B204" s="23" t="s">
        <v>33</v>
      </c>
      <c r="C204" s="23" t="str">
        <f>IF(B204="","",VLOOKUP(B204,Ressources!A:E,5,0))</f>
        <v xml:space="preserve">Main d'œuvre ouvrier qualifié </v>
      </c>
      <c r="D204" s="26" t="str">
        <f>IF(B204="","",VLOOKUP(B204,Ressources!A:F,6,0))</f>
        <v>h</v>
      </c>
      <c r="E204" s="26">
        <v>0.03</v>
      </c>
      <c r="F204" s="26">
        <f>IF(B204="","",VLOOKUP(B204,Ressources!A:H,8,0)*E204)</f>
        <v>0.03</v>
      </c>
      <c r="G204" s="38">
        <f>IF(B204="","",VLOOKUP(B204,Ressources!A:G,7,0))</f>
        <v>32</v>
      </c>
      <c r="H204" s="38">
        <f t="shared" si="41"/>
        <v>0.96</v>
      </c>
    </row>
    <row r="205" spans="1:9" x14ac:dyDescent="0.25">
      <c r="B205" s="23" t="s">
        <v>377</v>
      </c>
      <c r="C205" s="23" t="str">
        <f>IF(B205="","",VLOOKUP(B205,Ressources!A:E,5,0))</f>
        <v>Treillis soudé standard</v>
      </c>
      <c r="D205" s="26" t="str">
        <f>IF(B205="","",VLOOKUP(B205,Ressources!A:F,6,0))</f>
        <v>kg</v>
      </c>
      <c r="E205" s="26">
        <v>1</v>
      </c>
      <c r="F205" s="26">
        <f>IF(B205="","",VLOOKUP(B205,Ressources!A:H,8,0)*E205)</f>
        <v>1.05</v>
      </c>
      <c r="G205" s="38">
        <f>IF(B205="","",VLOOKUP(B205,Ressources!A:G,7,0))</f>
        <v>0.65</v>
      </c>
      <c r="H205" s="38">
        <f t="shared" si="41"/>
        <v>0.65</v>
      </c>
    </row>
    <row r="206" spans="1:9" ht="16.5" thickBot="1" x14ac:dyDescent="0.3"/>
    <row r="207" spans="1:9" s="43" customFormat="1" ht="16.5" thickBot="1" x14ac:dyDescent="0.3">
      <c r="A207" s="39" t="s">
        <v>448</v>
      </c>
      <c r="B207" s="39"/>
      <c r="C207" s="39" t="s">
        <v>455</v>
      </c>
      <c r="D207" s="41" t="s">
        <v>21</v>
      </c>
      <c r="E207" s="41"/>
      <c r="F207" s="41" t="str">
        <f>IF(B207="","",VLOOKUP(B207,Ressources!A:H,8,0)*E207)</f>
        <v/>
      </c>
      <c r="G207" s="42">
        <f>SUM(H208:H209)</f>
        <v>133.80000000000001</v>
      </c>
      <c r="H207" s="42" t="str">
        <f t="shared" ref="H207:H209" si="42">IF(B207="","",E207*G207)</f>
        <v/>
      </c>
      <c r="I207" s="42"/>
    </row>
    <row r="208" spans="1:9" x14ac:dyDescent="0.25">
      <c r="B208" s="23" t="s">
        <v>33</v>
      </c>
      <c r="C208" s="23" t="str">
        <f>IF(B208="","",VLOOKUP(B208,Ressources!A:E,5,0))</f>
        <v xml:space="preserve">Main d'œuvre ouvrier qualifié </v>
      </c>
      <c r="D208" s="26" t="str">
        <f>IF(B208="","",VLOOKUP(B208,Ressources!A:F,6,0))</f>
        <v>h</v>
      </c>
      <c r="E208" s="26">
        <v>0.9</v>
      </c>
      <c r="F208" s="26">
        <f>IF(B208="","",VLOOKUP(B208,Ressources!A:H,8,0)*E208)</f>
        <v>0.9</v>
      </c>
      <c r="G208" s="38">
        <f>IF(B208="","",VLOOKUP(B208,Ressources!A:G,7,0))</f>
        <v>32</v>
      </c>
      <c r="H208" s="38">
        <f t="shared" si="42"/>
        <v>28.8</v>
      </c>
    </row>
    <row r="209" spans="1:9" x14ac:dyDescent="0.25">
      <c r="B209" s="23" t="s">
        <v>41</v>
      </c>
      <c r="C209" s="23" t="str">
        <f>IF(B209="","",VLOOKUP(B209,Ressources!A:E,5,0))</f>
        <v>Béton XC2 C20/25</v>
      </c>
      <c r="D209" s="26" t="str">
        <f>IF(B209="","",VLOOKUP(B209,Ressources!A:F,6,0))</f>
        <v>m3</v>
      </c>
      <c r="E209" s="26">
        <v>1</v>
      </c>
      <c r="F209" s="26">
        <f>IF(B209="","",VLOOKUP(B209,Ressources!A:H,8,0)*E209)</f>
        <v>1.03</v>
      </c>
      <c r="G209" s="38">
        <f>IF(B209="","",VLOOKUP(B209,Ressources!A:G,7,0))</f>
        <v>105</v>
      </c>
      <c r="H209" s="38">
        <f t="shared" si="42"/>
        <v>105</v>
      </c>
    </row>
    <row r="210" spans="1:9" ht="16.5" thickBot="1" x14ac:dyDescent="0.3">
      <c r="C210" s="23" t="str">
        <f>IF(B210="","",VLOOKUP(B210,Ressources!A:E,5,0))</f>
        <v/>
      </c>
      <c r="F210" s="26" t="str">
        <f>IF(B210="","",VLOOKUP(B210,Ressources!A:H,8,0)*E210)</f>
        <v/>
      </c>
    </row>
    <row r="211" spans="1:9" s="43" customFormat="1" ht="16.5" thickBot="1" x14ac:dyDescent="0.3">
      <c r="A211" s="39" t="s">
        <v>449</v>
      </c>
      <c r="B211" s="39"/>
      <c r="C211" s="39" t="s">
        <v>454</v>
      </c>
      <c r="D211" s="41" t="s">
        <v>20</v>
      </c>
      <c r="E211" s="41"/>
      <c r="F211" s="41" t="str">
        <f>IF(B211="","",VLOOKUP(B211,Ressources!A:H,8,0)*E211)</f>
        <v/>
      </c>
      <c r="G211" s="42">
        <f>SUM(H212:H215)</f>
        <v>56</v>
      </c>
      <c r="H211" s="42" t="str">
        <f t="shared" ref="H211:H215" si="43">IF(B211="","",E211*G211)</f>
        <v/>
      </c>
      <c r="I211" s="42"/>
    </row>
    <row r="212" spans="1:9" x14ac:dyDescent="0.25">
      <c r="B212" s="23" t="s">
        <v>33</v>
      </c>
      <c r="C212" s="23" t="str">
        <f>IF(B212="","",VLOOKUP(B212,Ressources!A:E,5,0))</f>
        <v xml:space="preserve">Main d'œuvre ouvrier qualifié </v>
      </c>
      <c r="D212" s="26" t="str">
        <f>IF(B212="","",VLOOKUP(B212,Ressources!A:F,6,0))</f>
        <v>h</v>
      </c>
      <c r="E212" s="26">
        <v>1</v>
      </c>
      <c r="F212" s="26">
        <f>IF(B212="","",VLOOKUP(B212,Ressources!A:H,8,0)*E212)</f>
        <v>1</v>
      </c>
      <c r="G212" s="38">
        <f>IF(B212="","",VLOOKUP(B212,Ressources!A:G,7,0))</f>
        <v>32</v>
      </c>
      <c r="H212" s="38">
        <f t="shared" si="43"/>
        <v>32</v>
      </c>
    </row>
    <row r="213" spans="1:9" x14ac:dyDescent="0.25">
      <c r="B213" s="23" t="s">
        <v>446</v>
      </c>
      <c r="C213" s="23" t="str">
        <f>IF(B213="","",VLOOKUP(B213,Ressources!A:E,5,0))</f>
        <v xml:space="preserve">Location banches </v>
      </c>
      <c r="D213" s="26" t="str">
        <f>IF(B213="","",VLOOKUP(B213,Ressources!A:F,6,0))</f>
        <v>m2</v>
      </c>
      <c r="E213" s="26">
        <v>1</v>
      </c>
      <c r="F213" s="26">
        <f>IF(B213="","",VLOOKUP(B213,Ressources!A:H,8,0)*E213)</f>
        <v>1</v>
      </c>
      <c r="G213" s="38">
        <f>IF(B213="","",VLOOKUP(B213,Ressources!A:G,7,0))</f>
        <v>18</v>
      </c>
      <c r="H213" s="38">
        <f t="shared" si="43"/>
        <v>18</v>
      </c>
    </row>
    <row r="214" spans="1:9" x14ac:dyDescent="0.25">
      <c r="B214" s="23" t="s">
        <v>231</v>
      </c>
      <c r="C214" s="23" t="str">
        <f>IF(B214="","",VLOOKUP(B214,Ressources!A:E,5,0))</f>
        <v xml:space="preserve">Huile végétale pour démoulage </v>
      </c>
      <c r="D214" s="26" t="str">
        <f>IF(B214="","",VLOOKUP(B214,Ressources!A:F,6,0))</f>
        <v>l</v>
      </c>
      <c r="E214" s="26">
        <v>0.2</v>
      </c>
      <c r="F214" s="26">
        <f>IF(B214="","",VLOOKUP(B214,Ressources!A:H,8,0)*E214)</f>
        <v>0.22000000000000003</v>
      </c>
      <c r="G214" s="38">
        <f>IF(B214="","",VLOOKUP(B214,Ressources!A:G,7,0))</f>
        <v>5</v>
      </c>
      <c r="H214" s="38">
        <f t="shared" si="43"/>
        <v>1</v>
      </c>
    </row>
    <row r="215" spans="1:9" x14ac:dyDescent="0.25">
      <c r="B215" s="23" t="s">
        <v>443</v>
      </c>
      <c r="C215" s="23" t="str">
        <f>IF(B215="","",VLOOKUP(B215,Ressources!A:E,5,0))</f>
        <v xml:space="preserve">Divers petits matériaux voiles </v>
      </c>
      <c r="D215" s="26" t="str">
        <f>IF(B215="","",VLOOKUP(B215,Ressources!A:F,6,0))</f>
        <v>ens</v>
      </c>
      <c r="E215" s="26">
        <v>1</v>
      </c>
      <c r="F215" s="26">
        <f>IF(B215="","",VLOOKUP(B215,Ressources!A:H,8,0)*E215)</f>
        <v>1</v>
      </c>
      <c r="G215" s="38">
        <f>IF(B215="","",VLOOKUP(B215,Ressources!A:G,7,0))</f>
        <v>5</v>
      </c>
      <c r="H215" s="38">
        <f t="shared" si="43"/>
        <v>5</v>
      </c>
    </row>
    <row r="216" spans="1:9" ht="16.5" thickBot="1" x14ac:dyDescent="0.3">
      <c r="C216" s="23" t="str">
        <f>IF(B216="","",VLOOKUP(B216,Ressources!A:E,5,0))</f>
        <v/>
      </c>
      <c r="F216" s="26" t="str">
        <f>IF(B216="","",VLOOKUP(B216,Ressources!A:H,8,0)*E216)</f>
        <v/>
      </c>
    </row>
    <row r="217" spans="1:9" s="43" customFormat="1" ht="16.5" thickBot="1" x14ac:dyDescent="0.3">
      <c r="A217" s="39" t="s">
        <v>450</v>
      </c>
      <c r="B217" s="39"/>
      <c r="C217" s="39" t="s">
        <v>453</v>
      </c>
      <c r="D217" s="41" t="s">
        <v>22</v>
      </c>
      <c r="E217" s="41"/>
      <c r="F217" s="41" t="str">
        <f>IF(B217="","",VLOOKUP(B217,Ressources!A:H,8,0)*E217)</f>
        <v/>
      </c>
      <c r="G217" s="42">
        <f>SUM(H218:H219)</f>
        <v>2.7</v>
      </c>
      <c r="H217" s="42" t="str">
        <f t="shared" ref="H217:H223" si="44">IF(B217="","",E217*G217)</f>
        <v/>
      </c>
      <c r="I217" s="42"/>
    </row>
    <row r="218" spans="1:9" x14ac:dyDescent="0.25">
      <c r="B218" s="23" t="s">
        <v>33</v>
      </c>
      <c r="C218" s="23" t="str">
        <f>IF(B218="","",VLOOKUP(B218,Ressources!A:E,5,0))</f>
        <v xml:space="preserve">Main d'œuvre ouvrier qualifié </v>
      </c>
      <c r="D218" s="26" t="str">
        <f>IF(B218="","",VLOOKUP(B218,Ressources!A:F,6,0))</f>
        <v>h</v>
      </c>
      <c r="E218" s="26">
        <v>0.05</v>
      </c>
      <c r="F218" s="26">
        <f>IF(B218="","",VLOOKUP(B218,Ressources!A:H,8,0)*E218)</f>
        <v>0.05</v>
      </c>
      <c r="G218" s="38">
        <f>IF(B218="","",VLOOKUP(B218,Ressources!A:G,7,0))</f>
        <v>32</v>
      </c>
      <c r="H218" s="38">
        <f t="shared" si="44"/>
        <v>1.6</v>
      </c>
    </row>
    <row r="219" spans="1:9" x14ac:dyDescent="0.25">
      <c r="B219" s="23" t="s">
        <v>133</v>
      </c>
      <c r="C219" s="23" t="str">
        <f>IF(B219="","",VLOOKUP(B219,Ressources!A:E,5,0))</f>
        <v>Acier HA coupé, façonné</v>
      </c>
      <c r="D219" s="26" t="str">
        <f>IF(B219="","",VLOOKUP(B219,Ressources!A:F,6,0))</f>
        <v>kg</v>
      </c>
      <c r="E219" s="26">
        <v>1</v>
      </c>
      <c r="F219" s="26">
        <f>IF(B219="","",VLOOKUP(B219,Ressources!A:H,8,0)*E219)</f>
        <v>1</v>
      </c>
      <c r="G219" s="38">
        <f>IF(B219="","",VLOOKUP(B219,Ressources!A:G,7,0))</f>
        <v>1.1000000000000001</v>
      </c>
      <c r="H219" s="38">
        <f t="shared" si="44"/>
        <v>1.1000000000000001</v>
      </c>
    </row>
    <row r="220" spans="1:9" ht="16.5" thickBot="1" x14ac:dyDescent="0.3">
      <c r="C220" s="23" t="str">
        <f>IF(B220="","",VLOOKUP(B220,Ressources!A:E,5,0))</f>
        <v/>
      </c>
      <c r="D220" s="26" t="str">
        <f>IF(B220="","",VLOOKUP(B220,Ressources!A:F,6,0))</f>
        <v/>
      </c>
      <c r="F220" s="26" t="str">
        <f>IF(B220="","",VLOOKUP(B220,Ressources!A:H,8,0)*E220)</f>
        <v/>
      </c>
      <c r="G220" s="38" t="str">
        <f>IF(B220="","",VLOOKUP(B220,Ressources!A:G,7,0))</f>
        <v/>
      </c>
      <c r="H220" s="38" t="str">
        <f t="shared" si="44"/>
        <v/>
      </c>
    </row>
    <row r="221" spans="1:9" s="43" customFormat="1" ht="16.5" thickBot="1" x14ac:dyDescent="0.3">
      <c r="A221" s="39" t="s">
        <v>451</v>
      </c>
      <c r="B221" s="39"/>
      <c r="C221" s="39" t="s">
        <v>452</v>
      </c>
      <c r="D221" s="41" t="s">
        <v>22</v>
      </c>
      <c r="E221" s="41"/>
      <c r="F221" s="41" t="str">
        <f>IF(B221="","",VLOOKUP(B221,Ressources!A:H,8,0)*E221)</f>
        <v/>
      </c>
      <c r="G221" s="42">
        <f>SUM(H222:H223)</f>
        <v>1.6099999999999999</v>
      </c>
      <c r="H221" s="42" t="str">
        <f t="shared" si="44"/>
        <v/>
      </c>
      <c r="I221" s="42"/>
    </row>
    <row r="222" spans="1:9" x14ac:dyDescent="0.25">
      <c r="B222" s="23" t="s">
        <v>33</v>
      </c>
      <c r="C222" s="23" t="str">
        <f>IF(B222="","",VLOOKUP(B222,Ressources!A:E,5,0))</f>
        <v xml:space="preserve">Main d'œuvre ouvrier qualifié </v>
      </c>
      <c r="D222" s="26" t="str">
        <f>IF(B222="","",VLOOKUP(B222,Ressources!A:F,6,0))</f>
        <v>h</v>
      </c>
      <c r="E222" s="26">
        <v>0.03</v>
      </c>
      <c r="F222" s="26">
        <f>IF(B222="","",VLOOKUP(B222,Ressources!A:H,8,0)*E222)</f>
        <v>0.03</v>
      </c>
      <c r="G222" s="38">
        <f>IF(B222="","",VLOOKUP(B222,Ressources!A:G,7,0))</f>
        <v>32</v>
      </c>
      <c r="H222" s="38">
        <f t="shared" si="44"/>
        <v>0.96</v>
      </c>
    </row>
    <row r="223" spans="1:9" x14ac:dyDescent="0.25">
      <c r="B223" s="23" t="s">
        <v>377</v>
      </c>
      <c r="C223" s="23" t="str">
        <f>IF(B223="","",VLOOKUP(B223,Ressources!A:E,5,0))</f>
        <v>Treillis soudé standard</v>
      </c>
      <c r="D223" s="26" t="str">
        <f>IF(B223="","",VLOOKUP(B223,Ressources!A:F,6,0))</f>
        <v>kg</v>
      </c>
      <c r="E223" s="26">
        <v>1</v>
      </c>
      <c r="F223" s="26">
        <f>IF(B223="","",VLOOKUP(B223,Ressources!A:H,8,0)*E223)</f>
        <v>1.05</v>
      </c>
      <c r="G223" s="38">
        <f>IF(B223="","",VLOOKUP(B223,Ressources!A:G,7,0))</f>
        <v>0.65</v>
      </c>
      <c r="H223" s="38">
        <f t="shared" si="44"/>
        <v>0.65</v>
      </c>
    </row>
    <row r="224" spans="1:9" ht="16.5" thickBot="1" x14ac:dyDescent="0.3"/>
    <row r="225" spans="1:9" s="43" customFormat="1" ht="16.5" thickBot="1" x14ac:dyDescent="0.3">
      <c r="A225" s="39" t="s">
        <v>456</v>
      </c>
      <c r="B225" s="39"/>
      <c r="C225" s="39" t="s">
        <v>457</v>
      </c>
      <c r="D225" s="41" t="s">
        <v>20</v>
      </c>
      <c r="E225" s="41"/>
      <c r="F225" s="41" t="str">
        <f>IF(B225="","",VLOOKUP(B225,Ressources!A:H,8,0)*E225)</f>
        <v/>
      </c>
      <c r="G225" s="42">
        <f>SUM(H226:H227)</f>
        <v>8.9</v>
      </c>
      <c r="H225" s="42" t="str">
        <f t="shared" ref="H225:H227" si="45">IF(B225="","",E225*G225)</f>
        <v/>
      </c>
      <c r="I225" s="42"/>
    </row>
    <row r="226" spans="1:9" x14ac:dyDescent="0.25">
      <c r="B226" s="23" t="s">
        <v>33</v>
      </c>
      <c r="C226" s="23" t="str">
        <f>IF(B226="","",VLOOKUP(B226,Ressources!A:E,5,0))</f>
        <v xml:space="preserve">Main d'œuvre ouvrier qualifié </v>
      </c>
      <c r="D226" s="26" t="str">
        <f>IF(B226="","",VLOOKUP(B226,Ressources!A:F,6,0))</f>
        <v>h</v>
      </c>
      <c r="E226" s="26">
        <v>0.2</v>
      </c>
      <c r="F226" s="26">
        <f>IF(B226="","",VLOOKUP(B226,Ressources!A:H,8,0)*E226)</f>
        <v>0.2</v>
      </c>
      <c r="G226" s="38">
        <f>IF(B226="","",VLOOKUP(B226,Ressources!A:G,7,0))</f>
        <v>32</v>
      </c>
      <c r="H226" s="38">
        <f t="shared" si="45"/>
        <v>6.4</v>
      </c>
    </row>
    <row r="227" spans="1:9" x14ac:dyDescent="0.25">
      <c r="B227" s="23" t="s">
        <v>249</v>
      </c>
      <c r="C227" s="23" t="str">
        <f>IF(B227="","",VLOOKUP(B227,Ressources!A:E,5,0))</f>
        <v>Plaque pour joint de dilatation carton ep 20mm</v>
      </c>
      <c r="D227" s="26" t="str">
        <f>IF(B227="","",VLOOKUP(B227,Ressources!A:F,6,0))</f>
        <v>m2</v>
      </c>
      <c r="E227" s="26">
        <v>1</v>
      </c>
      <c r="F227" s="26">
        <f>IF(B227="","",VLOOKUP(B227,Ressources!A:H,8,0)*E227)</f>
        <v>1</v>
      </c>
      <c r="G227" s="38">
        <f>IF(B227="","",VLOOKUP(B227,Ressources!A:G,7,0))</f>
        <v>2.5</v>
      </c>
      <c r="H227" s="38">
        <f t="shared" si="45"/>
        <v>2.5</v>
      </c>
    </row>
    <row r="228" spans="1:9" ht="16.5" thickBot="1" x14ac:dyDescent="0.3"/>
    <row r="229" spans="1:9" s="43" customFormat="1" ht="16.5" thickBot="1" x14ac:dyDescent="0.3">
      <c r="A229" s="39" t="s">
        <v>458</v>
      </c>
      <c r="B229" s="39"/>
      <c r="C229" s="39" t="s">
        <v>459</v>
      </c>
      <c r="D229" s="41" t="s">
        <v>20</v>
      </c>
      <c r="E229" s="41"/>
      <c r="F229" s="41" t="str">
        <f>IF(B229="","",VLOOKUP(B229,Ressources!A:H,8,0)*E229)</f>
        <v/>
      </c>
      <c r="G229" s="42">
        <f>SUM(H230:H231)</f>
        <v>10.290000000000001</v>
      </c>
      <c r="H229" s="42" t="str">
        <f t="shared" ref="H229:H231" si="46">IF(B229="","",E229*G229)</f>
        <v/>
      </c>
      <c r="I229" s="42"/>
    </row>
    <row r="230" spans="1:9" x14ac:dyDescent="0.25">
      <c r="B230" s="23" t="s">
        <v>33</v>
      </c>
      <c r="C230" s="23" t="str">
        <f>IF(B230="","",VLOOKUP(B230,Ressources!A:E,5,0))</f>
        <v xml:space="preserve">Main d'œuvre ouvrier qualifié </v>
      </c>
      <c r="D230" s="26" t="str">
        <f>IF(B230="","",VLOOKUP(B230,Ressources!A:F,6,0))</f>
        <v>h</v>
      </c>
      <c r="E230" s="26">
        <v>0.2</v>
      </c>
      <c r="F230" s="26">
        <f>IF(B230="","",VLOOKUP(B230,Ressources!A:H,8,0)*E230)</f>
        <v>0.2</v>
      </c>
      <c r="G230" s="38">
        <f>IF(B230="","",VLOOKUP(B230,Ressources!A:G,7,0))</f>
        <v>32</v>
      </c>
      <c r="H230" s="38">
        <f t="shared" si="46"/>
        <v>6.4</v>
      </c>
    </row>
    <row r="231" spans="1:9" x14ac:dyDescent="0.25">
      <c r="B231" s="23" t="s">
        <v>251</v>
      </c>
      <c r="C231" s="23" t="str">
        <f>IF(B231="","",VLOOKUP(B231,Ressources!A:E,5,0))</f>
        <v>Plaque pour joint de dilatation carton ep 40mm</v>
      </c>
      <c r="D231" s="26" t="str">
        <f>IF(B231="","",VLOOKUP(B231,Ressources!A:F,6,0))</f>
        <v>m2</v>
      </c>
      <c r="E231" s="26">
        <v>1</v>
      </c>
      <c r="F231" s="26">
        <f>IF(B231="","",VLOOKUP(B231,Ressources!A:H,8,0)*E231)</f>
        <v>1</v>
      </c>
      <c r="G231" s="38">
        <f>IF(B231="","",VLOOKUP(B231,Ressources!A:G,7,0))</f>
        <v>3.89</v>
      </c>
      <c r="H231" s="38">
        <f t="shared" si="46"/>
        <v>3.89</v>
      </c>
    </row>
    <row r="232" spans="1:9" ht="16.5" thickBot="1" x14ac:dyDescent="0.3"/>
    <row r="233" spans="1:9" s="43" customFormat="1" ht="16.5" thickBot="1" x14ac:dyDescent="0.3">
      <c r="A233" s="39" t="s">
        <v>460</v>
      </c>
      <c r="B233" s="39"/>
      <c r="C233" s="39" t="s">
        <v>493</v>
      </c>
      <c r="D233" s="41" t="s">
        <v>20</v>
      </c>
      <c r="E233" s="41"/>
      <c r="F233" s="41" t="str">
        <f>IF(B233="","",VLOOKUP(B233,Ressources!A:H,8,0)*E233)</f>
        <v/>
      </c>
      <c r="G233" s="42">
        <f>SUM(H234:H235)</f>
        <v>5.05</v>
      </c>
      <c r="H233" s="42" t="str">
        <f t="shared" ref="H233:H235" si="47">IF(B233="","",E233*G233)</f>
        <v/>
      </c>
      <c r="I233" s="42"/>
    </row>
    <row r="234" spans="1:9" x14ac:dyDescent="0.25">
      <c r="B234" s="23" t="s">
        <v>33</v>
      </c>
      <c r="C234" s="23" t="str">
        <f>IF(B234="","",VLOOKUP(B234,Ressources!A:E,5,0))</f>
        <v xml:space="preserve">Main d'œuvre ouvrier qualifié </v>
      </c>
      <c r="D234" s="26" t="str">
        <f>IF(B234="","",VLOOKUP(B234,Ressources!A:F,6,0))</f>
        <v>h</v>
      </c>
      <c r="E234" s="26">
        <v>0.15</v>
      </c>
      <c r="F234" s="26">
        <f>IF(B234="","",VLOOKUP(B234,Ressources!A:H,8,0)*E234)</f>
        <v>0.15</v>
      </c>
      <c r="G234" s="38">
        <f>IF(B234="","",VLOOKUP(B234,Ressources!A:G,7,0))</f>
        <v>32</v>
      </c>
      <c r="H234" s="38">
        <f t="shared" si="47"/>
        <v>4.8</v>
      </c>
    </row>
    <row r="235" spans="1:9" x14ac:dyDescent="0.25">
      <c r="B235" s="23" t="s">
        <v>461</v>
      </c>
      <c r="C235" s="23" t="str">
        <f>IF(B235="","",VLOOKUP(B235,Ressources!A:E,5,0))</f>
        <v>Refoplan Mur</v>
      </c>
      <c r="D235" s="26" t="str">
        <f>IF(B235="","",VLOOKUP(B235,Ressources!A:F,6,0))</f>
        <v>kg</v>
      </c>
      <c r="E235" s="26">
        <v>1</v>
      </c>
      <c r="F235" s="26">
        <f>IF(B235="","",VLOOKUP(B235,Ressources!A:H,8,0)*E235)</f>
        <v>1.1000000000000001</v>
      </c>
      <c r="G235" s="38">
        <f>IF(B235="","",VLOOKUP(B235,Ressources!A:G,7,0))</f>
        <v>0.25</v>
      </c>
      <c r="H235" s="38">
        <f t="shared" si="47"/>
        <v>0.25</v>
      </c>
    </row>
    <row r="236" spans="1:9" ht="16.5" thickBot="1" x14ac:dyDescent="0.3"/>
    <row r="237" spans="1:9" s="43" customFormat="1" ht="16.5" thickBot="1" x14ac:dyDescent="0.3">
      <c r="A237" s="39" t="s">
        <v>485</v>
      </c>
      <c r="B237" s="39"/>
      <c r="C237" s="39" t="s">
        <v>492</v>
      </c>
      <c r="D237" s="41" t="s">
        <v>21</v>
      </c>
      <c r="E237" s="41"/>
      <c r="F237" s="41" t="str">
        <f>IF(B237="","",VLOOKUP(B237,Ressources!A:H,8,0)*E237)</f>
        <v/>
      </c>
      <c r="G237" s="42">
        <f>SUM(H238:H239)</f>
        <v>153</v>
      </c>
      <c r="H237" s="42" t="str">
        <f t="shared" ref="H237:H239" si="48">IF(B237="","",E237*G237)</f>
        <v/>
      </c>
      <c r="I237" s="42"/>
    </row>
    <row r="238" spans="1:9" x14ac:dyDescent="0.25">
      <c r="B238" s="23" t="s">
        <v>33</v>
      </c>
      <c r="C238" s="23" t="str">
        <f>IF(B238="","",VLOOKUP(B238,Ressources!A:E,5,0))</f>
        <v xml:space="preserve">Main d'œuvre ouvrier qualifié </v>
      </c>
      <c r="D238" s="26" t="str">
        <f>IF(B238="","",VLOOKUP(B238,Ressources!A:F,6,0))</f>
        <v>h</v>
      </c>
      <c r="E238" s="26">
        <v>1.5</v>
      </c>
      <c r="F238" s="26">
        <f>IF(B238="","",VLOOKUP(B238,Ressources!A:H,8,0)*E238)</f>
        <v>1.5</v>
      </c>
      <c r="G238" s="38">
        <f>IF(B238="","",VLOOKUP(B238,Ressources!A:G,7,0))</f>
        <v>32</v>
      </c>
      <c r="H238" s="38">
        <f t="shared" si="48"/>
        <v>48</v>
      </c>
    </row>
    <row r="239" spans="1:9" x14ac:dyDescent="0.25">
      <c r="B239" s="23" t="s">
        <v>41</v>
      </c>
      <c r="C239" s="23" t="str">
        <f>IF(B239="","",VLOOKUP(B239,Ressources!A:E,5,0))</f>
        <v>Béton XC2 C20/25</v>
      </c>
      <c r="D239" s="26" t="str">
        <f>IF(B239="","",VLOOKUP(B239,Ressources!A:F,6,0))</f>
        <v>m3</v>
      </c>
      <c r="E239" s="26">
        <v>1</v>
      </c>
      <c r="F239" s="26">
        <f>IF(B239="","",VLOOKUP(B239,Ressources!A:H,8,0)*E239)</f>
        <v>1.03</v>
      </c>
      <c r="G239" s="38">
        <f>IF(B239="","",VLOOKUP(B239,Ressources!A:G,7,0))</f>
        <v>105</v>
      </c>
      <c r="H239" s="38">
        <f t="shared" si="48"/>
        <v>105</v>
      </c>
    </row>
    <row r="240" spans="1:9" ht="16.5" thickBot="1" x14ac:dyDescent="0.3">
      <c r="C240" s="23" t="str">
        <f>IF(B240="","",VLOOKUP(B240,Ressources!A:E,5,0))</f>
        <v/>
      </c>
      <c r="F240" s="26" t="str">
        <f>IF(B240="","",VLOOKUP(B240,Ressources!A:H,8,0)*E240)</f>
        <v/>
      </c>
    </row>
    <row r="241" spans="1:9" s="43" customFormat="1" ht="16.5" thickBot="1" x14ac:dyDescent="0.3">
      <c r="A241" s="39" t="s">
        <v>486</v>
      </c>
      <c r="B241" s="39"/>
      <c r="C241" s="39" t="s">
        <v>491</v>
      </c>
      <c r="D241" s="41" t="s">
        <v>20</v>
      </c>
      <c r="E241" s="41"/>
      <c r="F241" s="41" t="str">
        <f>IF(B241="","",VLOOKUP(B241,Ressources!A:H,8,0)*E241)</f>
        <v/>
      </c>
      <c r="G241" s="42">
        <f>SUM(H242:H245)</f>
        <v>62.4</v>
      </c>
      <c r="H241" s="42" t="str">
        <f t="shared" ref="H241:H245" si="49">IF(B241="","",E241*G241)</f>
        <v/>
      </c>
      <c r="I241" s="42"/>
    </row>
    <row r="242" spans="1:9" x14ac:dyDescent="0.25">
      <c r="B242" s="23" t="s">
        <v>33</v>
      </c>
      <c r="C242" s="23" t="str">
        <f>IF(B242="","",VLOOKUP(B242,Ressources!A:E,5,0))</f>
        <v xml:space="preserve">Main d'œuvre ouvrier qualifié </v>
      </c>
      <c r="D242" s="26" t="str">
        <f>IF(B242="","",VLOOKUP(B242,Ressources!A:F,6,0))</f>
        <v>h</v>
      </c>
      <c r="E242" s="26">
        <v>1.2</v>
      </c>
      <c r="F242" s="26">
        <f>IF(B242="","",VLOOKUP(B242,Ressources!A:H,8,0)*E242)</f>
        <v>1.2</v>
      </c>
      <c r="G242" s="38">
        <f>IF(B242="","",VLOOKUP(B242,Ressources!A:G,7,0))</f>
        <v>32</v>
      </c>
      <c r="H242" s="38">
        <f t="shared" si="49"/>
        <v>38.4</v>
      </c>
    </row>
    <row r="243" spans="1:9" x14ac:dyDescent="0.25">
      <c r="B243" s="23" t="s">
        <v>446</v>
      </c>
      <c r="C243" s="23" t="str">
        <f>IF(B243="","",VLOOKUP(B243,Ressources!A:E,5,0))</f>
        <v xml:space="preserve">Location banches </v>
      </c>
      <c r="D243" s="26" t="str">
        <f>IF(B243="","",VLOOKUP(B243,Ressources!A:F,6,0))</f>
        <v>m2</v>
      </c>
      <c r="E243" s="26">
        <v>1</v>
      </c>
      <c r="F243" s="26">
        <f>IF(B243="","",VLOOKUP(B243,Ressources!A:H,8,0)*E243)</f>
        <v>1</v>
      </c>
      <c r="G243" s="38">
        <f>IF(B243="","",VLOOKUP(B243,Ressources!A:G,7,0))</f>
        <v>18</v>
      </c>
      <c r="H243" s="38">
        <f t="shared" si="49"/>
        <v>18</v>
      </c>
    </row>
    <row r="244" spans="1:9" x14ac:dyDescent="0.25">
      <c r="B244" s="23" t="s">
        <v>231</v>
      </c>
      <c r="C244" s="23" t="str">
        <f>IF(B244="","",VLOOKUP(B244,Ressources!A:E,5,0))</f>
        <v xml:space="preserve">Huile végétale pour démoulage </v>
      </c>
      <c r="D244" s="26" t="str">
        <f>IF(B244="","",VLOOKUP(B244,Ressources!A:F,6,0))</f>
        <v>l</v>
      </c>
      <c r="E244" s="26">
        <v>0.2</v>
      </c>
      <c r="F244" s="26">
        <f>IF(B244="","",VLOOKUP(B244,Ressources!A:H,8,0)*E244)</f>
        <v>0.22000000000000003</v>
      </c>
      <c r="G244" s="38">
        <f>IF(B244="","",VLOOKUP(B244,Ressources!A:G,7,0))</f>
        <v>5</v>
      </c>
      <c r="H244" s="38">
        <f t="shared" si="49"/>
        <v>1</v>
      </c>
    </row>
    <row r="245" spans="1:9" x14ac:dyDescent="0.25">
      <c r="B245" s="23" t="s">
        <v>443</v>
      </c>
      <c r="C245" s="23" t="str">
        <f>IF(B245="","",VLOOKUP(B245,Ressources!A:E,5,0))</f>
        <v xml:space="preserve">Divers petits matériaux voiles </v>
      </c>
      <c r="D245" s="26" t="str">
        <f>IF(B245="","",VLOOKUP(B245,Ressources!A:F,6,0))</f>
        <v>ens</v>
      </c>
      <c r="E245" s="26">
        <v>1</v>
      </c>
      <c r="F245" s="26">
        <f>IF(B245="","",VLOOKUP(B245,Ressources!A:H,8,0)*E245)</f>
        <v>1</v>
      </c>
      <c r="G245" s="38">
        <f>IF(B245="","",VLOOKUP(B245,Ressources!A:G,7,0))</f>
        <v>5</v>
      </c>
      <c r="H245" s="38">
        <f t="shared" si="49"/>
        <v>5</v>
      </c>
    </row>
    <row r="246" spans="1:9" ht="16.5" thickBot="1" x14ac:dyDescent="0.3">
      <c r="C246" s="23" t="str">
        <f>IF(B246="","",VLOOKUP(B246,Ressources!A:E,5,0))</f>
        <v/>
      </c>
      <c r="F246" s="26" t="str">
        <f>IF(B246="","",VLOOKUP(B246,Ressources!A:H,8,0)*E246)</f>
        <v/>
      </c>
    </row>
    <row r="247" spans="1:9" s="43" customFormat="1" ht="16.5" thickBot="1" x14ac:dyDescent="0.3">
      <c r="A247" s="39" t="s">
        <v>487</v>
      </c>
      <c r="B247" s="39"/>
      <c r="C247" s="39" t="s">
        <v>490</v>
      </c>
      <c r="D247" s="41" t="s">
        <v>22</v>
      </c>
      <c r="E247" s="41"/>
      <c r="F247" s="41" t="str">
        <f>IF(B247="","",VLOOKUP(B247,Ressources!A:H,8,0)*E247)</f>
        <v/>
      </c>
      <c r="G247" s="42">
        <f>SUM(H248:H249)</f>
        <v>2.7</v>
      </c>
      <c r="H247" s="42" t="str">
        <f t="shared" ref="H247:H253" si="50">IF(B247="","",E247*G247)</f>
        <v/>
      </c>
      <c r="I247" s="42"/>
    </row>
    <row r="248" spans="1:9" x14ac:dyDescent="0.25">
      <c r="B248" s="23" t="s">
        <v>33</v>
      </c>
      <c r="C248" s="23" t="str">
        <f>IF(B248="","",VLOOKUP(B248,Ressources!A:E,5,0))</f>
        <v xml:space="preserve">Main d'œuvre ouvrier qualifié </v>
      </c>
      <c r="D248" s="26" t="str">
        <f>IF(B248="","",VLOOKUP(B248,Ressources!A:F,6,0))</f>
        <v>h</v>
      </c>
      <c r="E248" s="26">
        <v>0.05</v>
      </c>
      <c r="F248" s="26">
        <f>IF(B248="","",VLOOKUP(B248,Ressources!A:H,8,0)*E248)</f>
        <v>0.05</v>
      </c>
      <c r="G248" s="38">
        <f>IF(B248="","",VLOOKUP(B248,Ressources!A:G,7,0))</f>
        <v>32</v>
      </c>
      <c r="H248" s="38">
        <f t="shared" si="50"/>
        <v>1.6</v>
      </c>
    </row>
    <row r="249" spans="1:9" x14ac:dyDescent="0.25">
      <c r="B249" s="23" t="s">
        <v>133</v>
      </c>
      <c r="C249" s="23" t="str">
        <f>IF(B249="","",VLOOKUP(B249,Ressources!A:E,5,0))</f>
        <v>Acier HA coupé, façonné</v>
      </c>
      <c r="D249" s="26" t="str">
        <f>IF(B249="","",VLOOKUP(B249,Ressources!A:F,6,0))</f>
        <v>kg</v>
      </c>
      <c r="E249" s="26">
        <v>1</v>
      </c>
      <c r="F249" s="26">
        <f>IF(B249="","",VLOOKUP(B249,Ressources!A:H,8,0)*E249)</f>
        <v>1</v>
      </c>
      <c r="G249" s="38">
        <f>IF(B249="","",VLOOKUP(B249,Ressources!A:G,7,0))</f>
        <v>1.1000000000000001</v>
      </c>
      <c r="H249" s="38">
        <f t="shared" si="50"/>
        <v>1.1000000000000001</v>
      </c>
    </row>
    <row r="250" spans="1:9" ht="16.5" thickBot="1" x14ac:dyDescent="0.3">
      <c r="C250" s="23" t="str">
        <f>IF(B250="","",VLOOKUP(B250,Ressources!A:E,5,0))</f>
        <v/>
      </c>
      <c r="D250" s="26" t="str">
        <f>IF(B250="","",VLOOKUP(B250,Ressources!A:F,6,0))</f>
        <v/>
      </c>
      <c r="F250" s="26" t="str">
        <f>IF(B250="","",VLOOKUP(B250,Ressources!A:H,8,0)*E250)</f>
        <v/>
      </c>
      <c r="G250" s="38" t="str">
        <f>IF(B250="","",VLOOKUP(B250,Ressources!A:G,7,0))</f>
        <v/>
      </c>
      <c r="H250" s="38" t="str">
        <f t="shared" si="50"/>
        <v/>
      </c>
    </row>
    <row r="251" spans="1:9" s="43" customFormat="1" ht="16.5" thickBot="1" x14ac:dyDescent="0.3">
      <c r="A251" s="39" t="s">
        <v>488</v>
      </c>
      <c r="B251" s="39"/>
      <c r="C251" s="39" t="s">
        <v>489</v>
      </c>
      <c r="D251" s="41" t="s">
        <v>22</v>
      </c>
      <c r="E251" s="41"/>
      <c r="F251" s="41" t="str">
        <f>IF(B251="","",VLOOKUP(B251,Ressources!A:H,8,0)*E251)</f>
        <v/>
      </c>
      <c r="G251" s="42">
        <f>SUM(H252:H253)</f>
        <v>1.6099999999999999</v>
      </c>
      <c r="H251" s="42" t="str">
        <f t="shared" si="50"/>
        <v/>
      </c>
      <c r="I251" s="42"/>
    </row>
    <row r="252" spans="1:9" x14ac:dyDescent="0.25">
      <c r="B252" s="23" t="s">
        <v>33</v>
      </c>
      <c r="C252" s="23" t="str">
        <f>IF(B252="","",VLOOKUP(B252,Ressources!A:E,5,0))</f>
        <v xml:space="preserve">Main d'œuvre ouvrier qualifié </v>
      </c>
      <c r="D252" s="26" t="str">
        <f>IF(B252="","",VLOOKUP(B252,Ressources!A:F,6,0))</f>
        <v>h</v>
      </c>
      <c r="E252" s="26">
        <v>0.03</v>
      </c>
      <c r="F252" s="26">
        <f>IF(B252="","",VLOOKUP(B252,Ressources!A:H,8,0)*E252)</f>
        <v>0.03</v>
      </c>
      <c r="G252" s="38">
        <f>IF(B252="","",VLOOKUP(B252,Ressources!A:G,7,0))</f>
        <v>32</v>
      </c>
      <c r="H252" s="38">
        <f t="shared" si="50"/>
        <v>0.96</v>
      </c>
    </row>
    <row r="253" spans="1:9" x14ac:dyDescent="0.25">
      <c r="B253" s="23" t="s">
        <v>377</v>
      </c>
      <c r="C253" s="23" t="str">
        <f>IF(B253="","",VLOOKUP(B253,Ressources!A:E,5,0))</f>
        <v>Treillis soudé standard</v>
      </c>
      <c r="D253" s="26" t="str">
        <f>IF(B253="","",VLOOKUP(B253,Ressources!A:F,6,0))</f>
        <v>kg</v>
      </c>
      <c r="E253" s="26">
        <v>1</v>
      </c>
      <c r="F253" s="26">
        <f>IF(B253="","",VLOOKUP(B253,Ressources!A:H,8,0)*E253)</f>
        <v>1.05</v>
      </c>
      <c r="G253" s="38">
        <f>IF(B253="","",VLOOKUP(B253,Ressources!A:G,7,0))</f>
        <v>0.65</v>
      </c>
      <c r="H253" s="38">
        <f t="shared" si="50"/>
        <v>0.65</v>
      </c>
    </row>
    <row r="254" spans="1:9" ht="16.5" thickBot="1" x14ac:dyDescent="0.3"/>
    <row r="255" spans="1:9" s="43" customFormat="1" ht="16.5" thickBot="1" x14ac:dyDescent="0.3">
      <c r="A255" s="39" t="s">
        <v>494</v>
      </c>
      <c r="B255" s="39"/>
      <c r="C255" s="39" t="s">
        <v>501</v>
      </c>
      <c r="D255" s="41" t="s">
        <v>21</v>
      </c>
      <c r="E255" s="41"/>
      <c r="F255" s="41" t="str">
        <f>IF(B255="","",VLOOKUP(B255,Ressources!A:H,8,0)*E255)</f>
        <v/>
      </c>
      <c r="G255" s="42">
        <f>SUM(H256:H257)</f>
        <v>153</v>
      </c>
      <c r="H255" s="42" t="str">
        <f t="shared" ref="H255:H257" si="51">IF(B255="","",E255*G255)</f>
        <v/>
      </c>
      <c r="I255" s="42"/>
    </row>
    <row r="256" spans="1:9" x14ac:dyDescent="0.25">
      <c r="B256" s="23" t="s">
        <v>33</v>
      </c>
      <c r="C256" s="23" t="str">
        <f>IF(B256="","",VLOOKUP(B256,Ressources!A:E,5,0))</f>
        <v xml:space="preserve">Main d'œuvre ouvrier qualifié </v>
      </c>
      <c r="D256" s="26" t="str">
        <f>IF(B256="","",VLOOKUP(B256,Ressources!A:F,6,0))</f>
        <v>h</v>
      </c>
      <c r="E256" s="26">
        <v>1.5</v>
      </c>
      <c r="F256" s="26">
        <f>IF(B256="","",VLOOKUP(B256,Ressources!A:H,8,0)*E256)</f>
        <v>1.5</v>
      </c>
      <c r="G256" s="38">
        <f>IF(B256="","",VLOOKUP(B256,Ressources!A:G,7,0))</f>
        <v>32</v>
      </c>
      <c r="H256" s="38">
        <f t="shared" si="51"/>
        <v>48</v>
      </c>
    </row>
    <row r="257" spans="1:9" x14ac:dyDescent="0.25">
      <c r="B257" s="23" t="s">
        <v>41</v>
      </c>
      <c r="C257" s="23" t="str">
        <f>IF(B257="","",VLOOKUP(B257,Ressources!A:E,5,0))</f>
        <v>Béton XC2 C20/25</v>
      </c>
      <c r="D257" s="26" t="str">
        <f>IF(B257="","",VLOOKUP(B257,Ressources!A:F,6,0))</f>
        <v>m3</v>
      </c>
      <c r="E257" s="26">
        <v>1</v>
      </c>
      <c r="F257" s="26">
        <f>IF(B257="","",VLOOKUP(B257,Ressources!A:H,8,0)*E257)</f>
        <v>1.03</v>
      </c>
      <c r="G257" s="38">
        <f>IF(B257="","",VLOOKUP(B257,Ressources!A:G,7,0))</f>
        <v>105</v>
      </c>
      <c r="H257" s="38">
        <f t="shared" si="51"/>
        <v>105</v>
      </c>
    </row>
    <row r="258" spans="1:9" ht="16.5" thickBot="1" x14ac:dyDescent="0.3">
      <c r="C258" s="23" t="str">
        <f>IF(B258="","",VLOOKUP(B258,Ressources!A:E,5,0))</f>
        <v/>
      </c>
      <c r="F258" s="26" t="str">
        <f>IF(B258="","",VLOOKUP(B258,Ressources!A:H,8,0)*E258)</f>
        <v/>
      </c>
    </row>
    <row r="259" spans="1:9" s="43" customFormat="1" ht="16.5" thickBot="1" x14ac:dyDescent="0.3">
      <c r="A259" s="39" t="s">
        <v>495</v>
      </c>
      <c r="B259" s="39"/>
      <c r="C259" s="39" t="s">
        <v>500</v>
      </c>
      <c r="D259" s="41" t="s">
        <v>20</v>
      </c>
      <c r="E259" s="41"/>
      <c r="F259" s="41" t="str">
        <f>IF(B259="","",VLOOKUP(B259,Ressources!A:H,8,0)*E259)</f>
        <v/>
      </c>
      <c r="G259" s="42">
        <f>SUM(H260:H263)</f>
        <v>62.4</v>
      </c>
      <c r="H259" s="42" t="str">
        <f t="shared" ref="H259:H263" si="52">IF(B259="","",E259*G259)</f>
        <v/>
      </c>
      <c r="I259" s="42"/>
    </row>
    <row r="260" spans="1:9" x14ac:dyDescent="0.25">
      <c r="B260" s="23" t="s">
        <v>33</v>
      </c>
      <c r="C260" s="23" t="str">
        <f>IF(B260="","",VLOOKUP(B260,Ressources!A:E,5,0))</f>
        <v xml:space="preserve">Main d'œuvre ouvrier qualifié </v>
      </c>
      <c r="D260" s="26" t="str">
        <f>IF(B260="","",VLOOKUP(B260,Ressources!A:F,6,0))</f>
        <v>h</v>
      </c>
      <c r="E260" s="26">
        <v>1.2</v>
      </c>
      <c r="F260" s="26">
        <f>IF(B260="","",VLOOKUP(B260,Ressources!A:H,8,0)*E260)</f>
        <v>1.2</v>
      </c>
      <c r="G260" s="38">
        <f>IF(B260="","",VLOOKUP(B260,Ressources!A:G,7,0))</f>
        <v>32</v>
      </c>
      <c r="H260" s="38">
        <f t="shared" si="52"/>
        <v>38.4</v>
      </c>
    </row>
    <row r="261" spans="1:9" x14ac:dyDescent="0.25">
      <c r="B261" s="23" t="s">
        <v>446</v>
      </c>
      <c r="C261" s="23" t="str">
        <f>IF(B261="","",VLOOKUP(B261,Ressources!A:E,5,0))</f>
        <v xml:space="preserve">Location banches </v>
      </c>
      <c r="D261" s="26" t="str">
        <f>IF(B261="","",VLOOKUP(B261,Ressources!A:F,6,0))</f>
        <v>m2</v>
      </c>
      <c r="E261" s="26">
        <v>1</v>
      </c>
      <c r="F261" s="26">
        <f>IF(B261="","",VLOOKUP(B261,Ressources!A:H,8,0)*E261)</f>
        <v>1</v>
      </c>
      <c r="G261" s="38">
        <f>IF(B261="","",VLOOKUP(B261,Ressources!A:G,7,0))</f>
        <v>18</v>
      </c>
      <c r="H261" s="38">
        <f t="shared" si="52"/>
        <v>18</v>
      </c>
    </row>
    <row r="262" spans="1:9" x14ac:dyDescent="0.25">
      <c r="B262" s="23" t="s">
        <v>231</v>
      </c>
      <c r="C262" s="23" t="str">
        <f>IF(B262="","",VLOOKUP(B262,Ressources!A:E,5,0))</f>
        <v xml:space="preserve">Huile végétale pour démoulage </v>
      </c>
      <c r="D262" s="26" t="str">
        <f>IF(B262="","",VLOOKUP(B262,Ressources!A:F,6,0))</f>
        <v>l</v>
      </c>
      <c r="E262" s="26">
        <v>0.2</v>
      </c>
      <c r="F262" s="26">
        <f>IF(B262="","",VLOOKUP(B262,Ressources!A:H,8,0)*E262)</f>
        <v>0.22000000000000003</v>
      </c>
      <c r="G262" s="38">
        <f>IF(B262="","",VLOOKUP(B262,Ressources!A:G,7,0))</f>
        <v>5</v>
      </c>
      <c r="H262" s="38">
        <f t="shared" si="52"/>
        <v>1</v>
      </c>
    </row>
    <row r="263" spans="1:9" x14ac:dyDescent="0.25">
      <c r="B263" s="23" t="s">
        <v>443</v>
      </c>
      <c r="C263" s="23" t="str">
        <f>IF(B263="","",VLOOKUP(B263,Ressources!A:E,5,0))</f>
        <v xml:space="preserve">Divers petits matériaux voiles </v>
      </c>
      <c r="D263" s="26" t="str">
        <f>IF(B263="","",VLOOKUP(B263,Ressources!A:F,6,0))</f>
        <v>ens</v>
      </c>
      <c r="E263" s="26">
        <v>1</v>
      </c>
      <c r="F263" s="26">
        <f>IF(B263="","",VLOOKUP(B263,Ressources!A:H,8,0)*E263)</f>
        <v>1</v>
      </c>
      <c r="G263" s="38">
        <f>IF(B263="","",VLOOKUP(B263,Ressources!A:G,7,0))</f>
        <v>5</v>
      </c>
      <c r="H263" s="38">
        <f t="shared" si="52"/>
        <v>5</v>
      </c>
    </row>
    <row r="264" spans="1:9" ht="16.5" thickBot="1" x14ac:dyDescent="0.3">
      <c r="C264" s="23" t="str">
        <f>IF(B264="","",VLOOKUP(B264,Ressources!A:E,5,0))</f>
        <v/>
      </c>
      <c r="F264" s="26" t="str">
        <f>IF(B264="","",VLOOKUP(B264,Ressources!A:H,8,0)*E264)</f>
        <v/>
      </c>
    </row>
    <row r="265" spans="1:9" s="43" customFormat="1" ht="16.5" thickBot="1" x14ac:dyDescent="0.3">
      <c r="A265" s="39" t="s">
        <v>496</v>
      </c>
      <c r="B265" s="39"/>
      <c r="C265" s="39" t="s">
        <v>499</v>
      </c>
      <c r="D265" s="41" t="s">
        <v>22</v>
      </c>
      <c r="E265" s="41"/>
      <c r="F265" s="41" t="str">
        <f>IF(B265="","",VLOOKUP(B265,Ressources!A:H,8,0)*E265)</f>
        <v/>
      </c>
      <c r="G265" s="42">
        <f>SUM(H266:H267)</f>
        <v>2.7</v>
      </c>
      <c r="H265" s="42" t="str">
        <f t="shared" ref="H265:H271" si="53">IF(B265="","",E265*G265)</f>
        <v/>
      </c>
      <c r="I265" s="42"/>
    </row>
    <row r="266" spans="1:9" x14ac:dyDescent="0.25">
      <c r="B266" s="23" t="s">
        <v>33</v>
      </c>
      <c r="C266" s="23" t="str">
        <f>IF(B266="","",VLOOKUP(B266,Ressources!A:E,5,0))</f>
        <v xml:space="preserve">Main d'œuvre ouvrier qualifié </v>
      </c>
      <c r="D266" s="26" t="str">
        <f>IF(B266="","",VLOOKUP(B266,Ressources!A:F,6,0))</f>
        <v>h</v>
      </c>
      <c r="E266" s="26">
        <v>0.05</v>
      </c>
      <c r="F266" s="26">
        <f>IF(B266="","",VLOOKUP(B266,Ressources!A:H,8,0)*E266)</f>
        <v>0.05</v>
      </c>
      <c r="G266" s="38">
        <f>IF(B266="","",VLOOKUP(B266,Ressources!A:G,7,0))</f>
        <v>32</v>
      </c>
      <c r="H266" s="38">
        <f t="shared" si="53"/>
        <v>1.6</v>
      </c>
    </row>
    <row r="267" spans="1:9" x14ac:dyDescent="0.25">
      <c r="B267" s="23" t="s">
        <v>133</v>
      </c>
      <c r="C267" s="23" t="str">
        <f>IF(B267="","",VLOOKUP(B267,Ressources!A:E,5,0))</f>
        <v>Acier HA coupé, façonné</v>
      </c>
      <c r="D267" s="26" t="str">
        <f>IF(B267="","",VLOOKUP(B267,Ressources!A:F,6,0))</f>
        <v>kg</v>
      </c>
      <c r="E267" s="26">
        <v>1</v>
      </c>
      <c r="F267" s="26">
        <f>IF(B267="","",VLOOKUP(B267,Ressources!A:H,8,0)*E267)</f>
        <v>1</v>
      </c>
      <c r="G267" s="38">
        <f>IF(B267="","",VLOOKUP(B267,Ressources!A:G,7,0))</f>
        <v>1.1000000000000001</v>
      </c>
      <c r="H267" s="38">
        <f t="shared" si="53"/>
        <v>1.1000000000000001</v>
      </c>
    </row>
    <row r="268" spans="1:9" ht="16.5" thickBot="1" x14ac:dyDescent="0.3">
      <c r="C268" s="23" t="str">
        <f>IF(B268="","",VLOOKUP(B268,Ressources!A:E,5,0))</f>
        <v/>
      </c>
      <c r="D268" s="26" t="str">
        <f>IF(B268="","",VLOOKUP(B268,Ressources!A:F,6,0))</f>
        <v/>
      </c>
      <c r="F268" s="26" t="str">
        <f>IF(B268="","",VLOOKUP(B268,Ressources!A:H,8,0)*E268)</f>
        <v/>
      </c>
      <c r="G268" s="38" t="str">
        <f>IF(B268="","",VLOOKUP(B268,Ressources!A:G,7,0))</f>
        <v/>
      </c>
      <c r="H268" s="38" t="str">
        <f t="shared" si="53"/>
        <v/>
      </c>
    </row>
    <row r="269" spans="1:9" s="43" customFormat="1" ht="16.5" thickBot="1" x14ac:dyDescent="0.3">
      <c r="A269" s="39" t="s">
        <v>497</v>
      </c>
      <c r="B269" s="39"/>
      <c r="C269" s="39" t="s">
        <v>498</v>
      </c>
      <c r="D269" s="41" t="s">
        <v>22</v>
      </c>
      <c r="E269" s="41"/>
      <c r="F269" s="41" t="str">
        <f>IF(B269="","",VLOOKUP(B269,Ressources!A:H,8,0)*E269)</f>
        <v/>
      </c>
      <c r="G269" s="42">
        <f>SUM(H270:H271)</f>
        <v>1.6099999999999999</v>
      </c>
      <c r="H269" s="42" t="str">
        <f t="shared" si="53"/>
        <v/>
      </c>
      <c r="I269" s="42"/>
    </row>
    <row r="270" spans="1:9" x14ac:dyDescent="0.25">
      <c r="B270" s="23" t="s">
        <v>33</v>
      </c>
      <c r="C270" s="23" t="str">
        <f>IF(B270="","",VLOOKUP(B270,Ressources!A:E,5,0))</f>
        <v xml:space="preserve">Main d'œuvre ouvrier qualifié </v>
      </c>
      <c r="D270" s="26" t="str">
        <f>IF(B270="","",VLOOKUP(B270,Ressources!A:F,6,0))</f>
        <v>h</v>
      </c>
      <c r="E270" s="26">
        <v>0.03</v>
      </c>
      <c r="F270" s="26">
        <f>IF(B270="","",VLOOKUP(B270,Ressources!A:H,8,0)*E270)</f>
        <v>0.03</v>
      </c>
      <c r="G270" s="38">
        <f>IF(B270="","",VLOOKUP(B270,Ressources!A:G,7,0))</f>
        <v>32</v>
      </c>
      <c r="H270" s="38">
        <f t="shared" si="53"/>
        <v>0.96</v>
      </c>
    </row>
    <row r="271" spans="1:9" x14ac:dyDescent="0.25">
      <c r="B271" s="23" t="s">
        <v>377</v>
      </c>
      <c r="C271" s="23" t="str">
        <f>IF(B271="","",VLOOKUP(B271,Ressources!A:E,5,0))</f>
        <v>Treillis soudé standard</v>
      </c>
      <c r="D271" s="26" t="str">
        <f>IF(B271="","",VLOOKUP(B271,Ressources!A:F,6,0))</f>
        <v>kg</v>
      </c>
      <c r="E271" s="26">
        <v>1</v>
      </c>
      <c r="F271" s="26">
        <f>IF(B271="","",VLOOKUP(B271,Ressources!A:H,8,0)*E271)</f>
        <v>1.05</v>
      </c>
      <c r="G271" s="38">
        <f>IF(B271="","",VLOOKUP(B271,Ressources!A:G,7,0))</f>
        <v>0.65</v>
      </c>
      <c r="H271" s="38">
        <f t="shared" si="53"/>
        <v>0.65</v>
      </c>
    </row>
    <row r="272" spans="1:9" ht="16.5" thickBot="1" x14ac:dyDescent="0.3"/>
    <row r="273" spans="1:9" s="43" customFormat="1" ht="16.5" thickBot="1" x14ac:dyDescent="0.3">
      <c r="A273" s="39" t="s">
        <v>463</v>
      </c>
      <c r="B273" s="39"/>
      <c r="C273" s="39" t="s">
        <v>464</v>
      </c>
      <c r="D273" s="41" t="s">
        <v>20</v>
      </c>
      <c r="E273" s="41"/>
      <c r="F273" s="41" t="str">
        <f>IF(B273="","",VLOOKUP(B273,Ressources!A:H,8,0)*E273)</f>
        <v/>
      </c>
      <c r="G273" s="42">
        <f>SUM(H274:H281)</f>
        <v>69.064999999999998</v>
      </c>
      <c r="H273" s="42" t="str">
        <f t="shared" ref="H273:H276" si="54">IF(B273="","",E273*G273)</f>
        <v/>
      </c>
      <c r="I273" s="42"/>
    </row>
    <row r="274" spans="1:9" x14ac:dyDescent="0.25">
      <c r="B274" s="23" t="s">
        <v>33</v>
      </c>
      <c r="C274" s="23" t="str">
        <f>IF(B274="","",VLOOKUP(B274,Ressources!A:E,5,0))</f>
        <v xml:space="preserve">Main d'œuvre ouvrier qualifié </v>
      </c>
      <c r="D274" s="26" t="str">
        <f>IF(B274="","",VLOOKUP(B274,Ressources!A:F,6,0))</f>
        <v>h</v>
      </c>
      <c r="E274" s="26">
        <v>1</v>
      </c>
      <c r="F274" s="26">
        <f>IF(B274="","",VLOOKUP(B274,Ressources!A:H,8,0)*E274)</f>
        <v>1</v>
      </c>
      <c r="G274" s="38">
        <f>IF(B274="","",VLOOKUP(B274,Ressources!A:G,7,0))</f>
        <v>32</v>
      </c>
      <c r="H274" s="38">
        <f t="shared" si="54"/>
        <v>32</v>
      </c>
    </row>
    <row r="275" spans="1:9" x14ac:dyDescent="0.25">
      <c r="B275" s="23" t="s">
        <v>474</v>
      </c>
      <c r="C275" s="23" t="str">
        <f>IF(B275="","",VLOOKUP(B275,Ressources!A:E,5,0))</f>
        <v>Bloc à bancher 500x200x200mm</v>
      </c>
      <c r="D275" s="26" t="str">
        <f>IF(B275="","",VLOOKUP(B275,Ressources!A:F,6,0))</f>
        <v>u</v>
      </c>
      <c r="E275" s="26">
        <v>10</v>
      </c>
      <c r="F275" s="26">
        <f>IF(B275="","",VLOOKUP(B275,Ressources!A:H,8,0)*E275)</f>
        <v>11</v>
      </c>
      <c r="G275" s="38">
        <f>IF(B275="","",VLOOKUP(B275,Ressources!A:G,7,0))</f>
        <v>1.8</v>
      </c>
      <c r="H275" s="38">
        <f t="shared" si="54"/>
        <v>18</v>
      </c>
    </row>
    <row r="276" spans="1:9" x14ac:dyDescent="0.25">
      <c r="B276" s="23" t="s">
        <v>135</v>
      </c>
      <c r="C276" s="23" t="str">
        <f>IF(B276="","",VLOOKUP(B276,Ressources!A:E,5,0))</f>
        <v>Acier HA brut</v>
      </c>
      <c r="D276" s="26" t="str">
        <f>IF(B276="","",VLOOKUP(B276,Ressources!A:F,6,0))</f>
        <v>kg</v>
      </c>
      <c r="E276" s="26">
        <v>2.5</v>
      </c>
      <c r="F276" s="26">
        <f>IF(B276="","",VLOOKUP(B276,Ressources!A:H,8,0)*E276)</f>
        <v>2.625</v>
      </c>
      <c r="G276" s="38">
        <f>IF(B276="","",VLOOKUP(B276,Ressources!A:G,7,0))</f>
        <v>1</v>
      </c>
      <c r="H276" s="38">
        <f t="shared" si="54"/>
        <v>2.5</v>
      </c>
    </row>
    <row r="277" spans="1:9" x14ac:dyDescent="0.25">
      <c r="C277" s="23" t="str">
        <f>IF(B277="","",VLOOKUP(B277,Ressources!A:E,5,0))</f>
        <v/>
      </c>
      <c r="D277" s="26" t="str">
        <f>IF(B277="","",VLOOKUP(B277,Ressources!A:F,6,0))</f>
        <v/>
      </c>
      <c r="F277" s="26" t="str">
        <f>IF(B277="","",VLOOKUP(B277,Ressources!A:H,8,0)*E277)</f>
        <v/>
      </c>
      <c r="G277" s="38" t="str">
        <f>IF(B277="","",VLOOKUP(B277,Ressources!A:G,7,0))</f>
        <v/>
      </c>
      <c r="H277" s="38" t="str">
        <f t="shared" ref="H277:H281" si="55">IF(B277="","",E277*G277)</f>
        <v/>
      </c>
    </row>
    <row r="278" spans="1:9" x14ac:dyDescent="0.25">
      <c r="B278" s="23" t="s">
        <v>35</v>
      </c>
      <c r="C278" s="23" t="str">
        <f>IF(B278="","",VLOOKUP(B278,Ressources!A:E,5,0))</f>
        <v>Main d'œuvre Manœuvre</v>
      </c>
      <c r="D278" s="26" t="str">
        <f>IF(B278="","",VLOOKUP(B278,Ressources!A:F,6,0))</f>
        <v>h</v>
      </c>
      <c r="E278" s="26">
        <f>1.8*0.1</f>
        <v>0.18000000000000002</v>
      </c>
      <c r="F278" s="26">
        <f>IF(B278="","",VLOOKUP(B278,Ressources!A:H,8,0)*E278)</f>
        <v>0.18000000000000002</v>
      </c>
      <c r="G278" s="38">
        <f>IF(B278="","",VLOOKUP(B278,Ressources!A:G,7,0))</f>
        <v>28</v>
      </c>
      <c r="H278" s="38">
        <f t="shared" si="55"/>
        <v>5.0400000000000009</v>
      </c>
    </row>
    <row r="279" spans="1:9" x14ac:dyDescent="0.25">
      <c r="B279" s="23" t="s">
        <v>112</v>
      </c>
      <c r="C279" s="23" t="str">
        <f>IF(B279="","",VLOOKUP(B279,Ressources!A:E,5,0))</f>
        <v>Sable 0/4 - 0/5 - Vrac</v>
      </c>
      <c r="D279" s="26" t="str">
        <f>IF(B279="","",VLOOKUP(B279,Ressources!A:F,6,0))</f>
        <v>m3</v>
      </c>
      <c r="E279" s="26">
        <f>0.7*0.1</f>
        <v>6.9999999999999993E-2</v>
      </c>
      <c r="F279" s="26">
        <f>IF(B279="","",VLOOKUP(B279,Ressources!A:H,8,0)*E279)</f>
        <v>7.6999999999999999E-2</v>
      </c>
      <c r="G279" s="38">
        <f>IF(B279="","",VLOOKUP(B279,Ressources!A:G,7,0))</f>
        <v>61</v>
      </c>
      <c r="H279" s="38">
        <f t="shared" si="55"/>
        <v>4.2699999999999996</v>
      </c>
    </row>
    <row r="280" spans="1:9" x14ac:dyDescent="0.25">
      <c r="B280" s="23" t="s">
        <v>84</v>
      </c>
      <c r="C280" s="23" t="str">
        <f>IF(B280="","",VLOOKUP(B280,Ressources!A:E,5,0))</f>
        <v>Mortier standard M20</v>
      </c>
      <c r="D280" s="26" t="str">
        <f>IF(B280="","",VLOOKUP(B280,Ressources!A:F,6,0))</f>
        <v>kg</v>
      </c>
      <c r="E280" s="26">
        <f>250*0.1</f>
        <v>25</v>
      </c>
      <c r="F280" s="26">
        <f>IF(B280="","",VLOOKUP(B280,Ressources!A:H,8,0)*E280)</f>
        <v>27.500000000000004</v>
      </c>
      <c r="G280" s="38">
        <f>IF(B280="","",VLOOKUP(B280,Ressources!A:G,7,0))</f>
        <v>0.28000000000000003</v>
      </c>
      <c r="H280" s="38">
        <f t="shared" si="55"/>
        <v>7.0000000000000009</v>
      </c>
    </row>
    <row r="281" spans="1:9" x14ac:dyDescent="0.25">
      <c r="B281" s="23" t="s">
        <v>359</v>
      </c>
      <c r="C281" s="23" t="str">
        <f>IF(B281="","",VLOOKUP(B281,Ressources!A:E,5,0))</f>
        <v xml:space="preserve">Carburant pour machine </v>
      </c>
      <c r="D281" s="26" t="str">
        <f>IF(B281="","",VLOOKUP(B281,Ressources!A:F,6,0))</f>
        <v>l</v>
      </c>
      <c r="E281" s="26">
        <f>1.5*0.1</f>
        <v>0.15000000000000002</v>
      </c>
      <c r="F281" s="26">
        <f>IF(B281="","",VLOOKUP(B281,Ressources!A:H,8,0)*E281)</f>
        <v>0.15000000000000002</v>
      </c>
      <c r="G281" s="38">
        <f>IF(B281="","",VLOOKUP(B281,Ressources!A:G,7,0))</f>
        <v>1.7</v>
      </c>
      <c r="H281" s="38">
        <f t="shared" si="55"/>
        <v>0.255</v>
      </c>
    </row>
    <row r="282" spans="1:9" ht="16.5" thickBot="1" x14ac:dyDescent="0.3"/>
    <row r="283" spans="1:9" s="43" customFormat="1" ht="16.5" thickBot="1" x14ac:dyDescent="0.3">
      <c r="A283" s="39" t="s">
        <v>465</v>
      </c>
      <c r="B283" s="39"/>
      <c r="C283" s="39" t="s">
        <v>466</v>
      </c>
      <c r="D283" s="41" t="s">
        <v>20</v>
      </c>
      <c r="E283" s="41"/>
      <c r="F283" s="41" t="str">
        <f>IF(B283="","",VLOOKUP(B283,Ressources!A:H,8,0)*E283)</f>
        <v/>
      </c>
      <c r="G283" s="42">
        <f>SUM(H284:H291)</f>
        <v>109.03000000000002</v>
      </c>
      <c r="H283" s="42" t="str">
        <f t="shared" ref="H283:H291" si="56">IF(B283="","",E283*G283)</f>
        <v/>
      </c>
      <c r="I283" s="42"/>
    </row>
    <row r="284" spans="1:9" x14ac:dyDescent="0.25">
      <c r="B284" s="23" t="s">
        <v>33</v>
      </c>
      <c r="C284" s="23" t="str">
        <f>IF(B284="","",VLOOKUP(B284,Ressources!A:E,5,0))</f>
        <v xml:space="preserve">Main d'œuvre ouvrier qualifié </v>
      </c>
      <c r="D284" s="26" t="str">
        <f>IF(B284="","",VLOOKUP(B284,Ressources!A:F,6,0))</f>
        <v>h</v>
      </c>
      <c r="E284" s="26">
        <v>1.2</v>
      </c>
      <c r="F284" s="26">
        <f>IF(B284="","",VLOOKUP(B284,Ressources!A:H,8,0)*E284)</f>
        <v>1.2</v>
      </c>
      <c r="G284" s="38">
        <f>IF(B284="","",VLOOKUP(B284,Ressources!A:G,7,0))</f>
        <v>32</v>
      </c>
      <c r="H284" s="38">
        <f t="shared" si="56"/>
        <v>38.4</v>
      </c>
    </row>
    <row r="285" spans="1:9" x14ac:dyDescent="0.25">
      <c r="B285" s="23" t="s">
        <v>475</v>
      </c>
      <c r="C285" s="23" t="str">
        <f>IF(B285="","",VLOOKUP(B285,Ressources!A:E,5,0))</f>
        <v>Bloc à bancher 500x275x200mm</v>
      </c>
      <c r="D285" s="26" t="str">
        <f>IF(B285="","",VLOOKUP(B285,Ressources!A:F,6,0))</f>
        <v>u</v>
      </c>
      <c r="E285" s="26">
        <v>10</v>
      </c>
      <c r="F285" s="26">
        <f>IF(B285="","",VLOOKUP(B285,Ressources!A:H,8,0)*E285)</f>
        <v>11</v>
      </c>
      <c r="G285" s="38">
        <f>IF(B285="","",VLOOKUP(B285,Ressources!A:G,7,0))</f>
        <v>3.5</v>
      </c>
      <c r="H285" s="38">
        <f t="shared" si="56"/>
        <v>35</v>
      </c>
    </row>
    <row r="286" spans="1:9" x14ac:dyDescent="0.25">
      <c r="B286" s="23" t="s">
        <v>135</v>
      </c>
      <c r="C286" s="23" t="str">
        <f>IF(B286="","",VLOOKUP(B286,Ressources!A:E,5,0))</f>
        <v>Acier HA brut</v>
      </c>
      <c r="D286" s="26" t="str">
        <f>IF(B286="","",VLOOKUP(B286,Ressources!A:F,6,0))</f>
        <v>kg</v>
      </c>
      <c r="E286" s="26">
        <v>2.5</v>
      </c>
      <c r="F286" s="26">
        <f>IF(B286="","",VLOOKUP(B286,Ressources!A:H,8,0)*E286)</f>
        <v>2.625</v>
      </c>
      <c r="G286" s="38">
        <f>IF(B286="","",VLOOKUP(B286,Ressources!A:G,7,0))</f>
        <v>1</v>
      </c>
      <c r="H286" s="38">
        <f t="shared" si="56"/>
        <v>2.5</v>
      </c>
    </row>
    <row r="287" spans="1:9" x14ac:dyDescent="0.25">
      <c r="C287" s="23" t="str">
        <f>IF(B287="","",VLOOKUP(B287,Ressources!A:E,5,0))</f>
        <v/>
      </c>
      <c r="D287" s="26" t="str">
        <f>IF(B287="","",VLOOKUP(B287,Ressources!A:F,6,0))</f>
        <v/>
      </c>
      <c r="F287" s="26" t="str">
        <f>IF(B287="","",VLOOKUP(B287,Ressources!A:H,8,0)*E287)</f>
        <v/>
      </c>
      <c r="G287" s="38" t="str">
        <f>IF(B287="","",VLOOKUP(B287,Ressources!A:G,7,0))</f>
        <v/>
      </c>
      <c r="H287" s="38" t="str">
        <f t="shared" si="56"/>
        <v/>
      </c>
    </row>
    <row r="288" spans="1:9" x14ac:dyDescent="0.25">
      <c r="B288" s="23" t="s">
        <v>35</v>
      </c>
      <c r="C288" s="23" t="str">
        <f>IF(B288="","",VLOOKUP(B288,Ressources!A:E,5,0))</f>
        <v>Main d'œuvre Manœuvre</v>
      </c>
      <c r="D288" s="26" t="str">
        <f>IF(B288="","",VLOOKUP(B288,Ressources!A:F,6,0))</f>
        <v>h</v>
      </c>
      <c r="E288" s="26">
        <f>1.8*0.2</f>
        <v>0.36000000000000004</v>
      </c>
      <c r="F288" s="26">
        <f>IF(B288="","",VLOOKUP(B288,Ressources!A:H,8,0)*E288)</f>
        <v>0.36000000000000004</v>
      </c>
      <c r="G288" s="38">
        <f>IF(B288="","",VLOOKUP(B288,Ressources!A:G,7,0))</f>
        <v>28</v>
      </c>
      <c r="H288" s="38">
        <f t="shared" si="56"/>
        <v>10.080000000000002</v>
      </c>
    </row>
    <row r="289" spans="1:9" x14ac:dyDescent="0.25">
      <c r="B289" s="23" t="s">
        <v>112</v>
      </c>
      <c r="C289" s="23" t="str">
        <f>IF(B289="","",VLOOKUP(B289,Ressources!A:E,5,0))</f>
        <v>Sable 0/4 - 0/5 - Vrac</v>
      </c>
      <c r="D289" s="26" t="str">
        <f>IF(B289="","",VLOOKUP(B289,Ressources!A:F,6,0))</f>
        <v>m3</v>
      </c>
      <c r="E289" s="26">
        <f>0.7*0.2</f>
        <v>0.13999999999999999</v>
      </c>
      <c r="F289" s="26">
        <f>IF(B289="","",VLOOKUP(B289,Ressources!A:H,8,0)*E289)</f>
        <v>0.154</v>
      </c>
      <c r="G289" s="38">
        <f>IF(B289="","",VLOOKUP(B289,Ressources!A:G,7,0))</f>
        <v>61</v>
      </c>
      <c r="H289" s="38">
        <f t="shared" si="56"/>
        <v>8.5399999999999991</v>
      </c>
    </row>
    <row r="290" spans="1:9" x14ac:dyDescent="0.25">
      <c r="B290" s="23" t="s">
        <v>84</v>
      </c>
      <c r="C290" s="23" t="str">
        <f>IF(B290="","",VLOOKUP(B290,Ressources!A:E,5,0))</f>
        <v>Mortier standard M20</v>
      </c>
      <c r="D290" s="26" t="str">
        <f>IF(B290="","",VLOOKUP(B290,Ressources!A:F,6,0))</f>
        <v>kg</v>
      </c>
      <c r="E290" s="26">
        <f>250*0.2</f>
        <v>50</v>
      </c>
      <c r="F290" s="26">
        <f>IF(B290="","",VLOOKUP(B290,Ressources!A:H,8,0)*E290)</f>
        <v>55.000000000000007</v>
      </c>
      <c r="G290" s="38">
        <f>IF(B290="","",VLOOKUP(B290,Ressources!A:G,7,0))</f>
        <v>0.28000000000000003</v>
      </c>
      <c r="H290" s="38">
        <f t="shared" si="56"/>
        <v>14.000000000000002</v>
      </c>
    </row>
    <row r="291" spans="1:9" x14ac:dyDescent="0.25">
      <c r="B291" s="23" t="s">
        <v>359</v>
      </c>
      <c r="C291" s="23" t="str">
        <f>IF(B291="","",VLOOKUP(B291,Ressources!A:E,5,0))</f>
        <v xml:space="preserve">Carburant pour machine </v>
      </c>
      <c r="D291" s="26" t="str">
        <f>IF(B291="","",VLOOKUP(B291,Ressources!A:F,6,0))</f>
        <v>l</v>
      </c>
      <c r="E291" s="26">
        <f>1.5*0.2</f>
        <v>0.30000000000000004</v>
      </c>
      <c r="F291" s="26">
        <f>IF(B291="","",VLOOKUP(B291,Ressources!A:H,8,0)*E291)</f>
        <v>0.30000000000000004</v>
      </c>
      <c r="G291" s="38">
        <f>IF(B291="","",VLOOKUP(B291,Ressources!A:G,7,0))</f>
        <v>1.7</v>
      </c>
      <c r="H291" s="38">
        <f t="shared" si="56"/>
        <v>0.51</v>
      </c>
    </row>
    <row r="292" spans="1:9" ht="16.5" thickBot="1" x14ac:dyDescent="0.3"/>
    <row r="293" spans="1:9" s="43" customFormat="1" ht="16.5" thickBot="1" x14ac:dyDescent="0.3">
      <c r="A293" s="39" t="s">
        <v>468</v>
      </c>
      <c r="B293" s="39"/>
      <c r="C293" s="39" t="s">
        <v>467</v>
      </c>
      <c r="D293" s="41" t="s">
        <v>20</v>
      </c>
      <c r="E293" s="41"/>
      <c r="F293" s="41" t="str">
        <f>IF(B293="","",VLOOKUP(B293,Ressources!A:H,8,0)*E293)</f>
        <v/>
      </c>
      <c r="G293" s="42">
        <f>SUM(H294:H300)</f>
        <v>43.913000000000004</v>
      </c>
      <c r="H293" s="42" t="str">
        <f t="shared" ref="H293:H300" si="57">IF(B293="","",E293*G293)</f>
        <v/>
      </c>
      <c r="I293" s="42"/>
    </row>
    <row r="294" spans="1:9" x14ac:dyDescent="0.25">
      <c r="B294" s="23" t="s">
        <v>33</v>
      </c>
      <c r="C294" s="23" t="str">
        <f>IF(B294="","",VLOOKUP(B294,Ressources!A:E,5,0))</f>
        <v xml:space="preserve">Main d'œuvre ouvrier qualifié </v>
      </c>
      <c r="D294" s="26" t="str">
        <f>IF(B294="","",VLOOKUP(B294,Ressources!A:F,6,0))</f>
        <v>h</v>
      </c>
      <c r="E294" s="26">
        <v>1</v>
      </c>
      <c r="F294" s="26">
        <f>IF(B294="","",VLOOKUP(B294,Ressources!A:H,8,0)*E294)</f>
        <v>1</v>
      </c>
      <c r="G294" s="38">
        <f>IF(B294="","",VLOOKUP(B294,Ressources!A:G,7,0))</f>
        <v>32</v>
      </c>
      <c r="H294" s="38">
        <f t="shared" si="57"/>
        <v>32</v>
      </c>
    </row>
    <row r="295" spans="1:9" x14ac:dyDescent="0.25">
      <c r="B295" s="23" t="s">
        <v>469</v>
      </c>
      <c r="C295" s="23" t="str">
        <f>IF(B295="","",VLOOKUP(B295,Ressources!A:E,5,0))</f>
        <v>Bloc creux 500x100x200mm</v>
      </c>
      <c r="D295" s="26" t="str">
        <f>IF(B295="","",VLOOKUP(B295,Ressources!A:F,6,0))</f>
        <v>u</v>
      </c>
      <c r="E295" s="26">
        <v>10</v>
      </c>
      <c r="F295" s="26">
        <f>IF(B295="","",VLOOKUP(B295,Ressources!A:H,8,0)*E295)</f>
        <v>11</v>
      </c>
      <c r="G295" s="38">
        <f>IF(B295="","",VLOOKUP(B295,Ressources!A:G,7,0))</f>
        <v>0.86</v>
      </c>
      <c r="H295" s="38">
        <f t="shared" si="57"/>
        <v>8.6</v>
      </c>
    </row>
    <row r="296" spans="1:9" x14ac:dyDescent="0.25">
      <c r="C296" s="23" t="str">
        <f>IF(B296="","",VLOOKUP(B296,Ressources!A:E,5,0))</f>
        <v/>
      </c>
      <c r="D296" s="26" t="str">
        <f>IF(B296="","",VLOOKUP(B296,Ressources!A:F,6,0))</f>
        <v/>
      </c>
      <c r="F296" s="26" t="str">
        <f>IF(B296="","",VLOOKUP(B296,Ressources!A:H,8,0)*E296)</f>
        <v/>
      </c>
      <c r="G296" s="38" t="str">
        <f>IF(B296="","",VLOOKUP(B296,Ressources!A:G,7,0))</f>
        <v/>
      </c>
      <c r="H296" s="38" t="str">
        <f t="shared" si="57"/>
        <v/>
      </c>
    </row>
    <row r="297" spans="1:9" x14ac:dyDescent="0.25">
      <c r="B297" s="23" t="s">
        <v>35</v>
      </c>
      <c r="C297" s="23" t="str">
        <f>IF(B297="","",VLOOKUP(B297,Ressources!A:E,5,0))</f>
        <v>Main d'œuvre Manœuvre</v>
      </c>
      <c r="D297" s="26" t="str">
        <f>IF(B297="","",VLOOKUP(B297,Ressources!A:F,6,0))</f>
        <v>h</v>
      </c>
      <c r="E297" s="26">
        <f>1.8*0.02</f>
        <v>3.6000000000000004E-2</v>
      </c>
      <c r="F297" s="26">
        <f>IF(B297="","",VLOOKUP(B297,Ressources!A:H,8,0)*E297)</f>
        <v>3.6000000000000004E-2</v>
      </c>
      <c r="G297" s="38">
        <f>IF(B297="","",VLOOKUP(B297,Ressources!A:G,7,0))</f>
        <v>28</v>
      </c>
      <c r="H297" s="38">
        <f t="shared" si="57"/>
        <v>1.008</v>
      </c>
    </row>
    <row r="298" spans="1:9" x14ac:dyDescent="0.25">
      <c r="B298" s="23" t="s">
        <v>112</v>
      </c>
      <c r="C298" s="23" t="str">
        <f>IF(B298="","",VLOOKUP(B298,Ressources!A:E,5,0))</f>
        <v>Sable 0/4 - 0/5 - Vrac</v>
      </c>
      <c r="D298" s="26" t="str">
        <f>IF(B298="","",VLOOKUP(B298,Ressources!A:F,6,0))</f>
        <v>m3</v>
      </c>
      <c r="E298" s="26">
        <f>0.7*0.02</f>
        <v>1.3999999999999999E-2</v>
      </c>
      <c r="F298" s="26">
        <f>IF(B298="","",VLOOKUP(B298,Ressources!A:H,8,0)*E298)</f>
        <v>1.54E-2</v>
      </c>
      <c r="G298" s="38">
        <f>IF(B298="","",VLOOKUP(B298,Ressources!A:G,7,0))</f>
        <v>61</v>
      </c>
      <c r="H298" s="38">
        <f t="shared" si="57"/>
        <v>0.85399999999999987</v>
      </c>
    </row>
    <row r="299" spans="1:9" x14ac:dyDescent="0.25">
      <c r="B299" s="23" t="s">
        <v>84</v>
      </c>
      <c r="C299" s="23" t="str">
        <f>IF(B299="","",VLOOKUP(B299,Ressources!A:E,5,0))</f>
        <v>Mortier standard M20</v>
      </c>
      <c r="D299" s="26" t="str">
        <f>IF(B299="","",VLOOKUP(B299,Ressources!A:F,6,0))</f>
        <v>kg</v>
      </c>
      <c r="E299" s="26">
        <f>250*0.02</f>
        <v>5</v>
      </c>
      <c r="F299" s="26">
        <f>IF(B299="","",VLOOKUP(B299,Ressources!A:H,8,0)*E299)</f>
        <v>5.5</v>
      </c>
      <c r="G299" s="38">
        <f>IF(B299="","",VLOOKUP(B299,Ressources!A:G,7,0))</f>
        <v>0.28000000000000003</v>
      </c>
      <c r="H299" s="38">
        <f t="shared" si="57"/>
        <v>1.4000000000000001</v>
      </c>
    </row>
    <row r="300" spans="1:9" x14ac:dyDescent="0.25">
      <c r="B300" s="23" t="s">
        <v>359</v>
      </c>
      <c r="C300" s="23" t="str">
        <f>IF(B300="","",VLOOKUP(B300,Ressources!A:E,5,0))</f>
        <v xml:space="preserve">Carburant pour machine </v>
      </c>
      <c r="D300" s="26" t="str">
        <f>IF(B300="","",VLOOKUP(B300,Ressources!A:F,6,0))</f>
        <v>l</v>
      </c>
      <c r="E300" s="26">
        <f>1.5*0.02</f>
        <v>0.03</v>
      </c>
      <c r="F300" s="26">
        <f>IF(B300="","",VLOOKUP(B300,Ressources!A:H,8,0)*E300)</f>
        <v>0.03</v>
      </c>
      <c r="G300" s="38">
        <f>IF(B300="","",VLOOKUP(B300,Ressources!A:G,7,0))</f>
        <v>1.7</v>
      </c>
      <c r="H300" s="38">
        <f t="shared" si="57"/>
        <v>5.0999999999999997E-2</v>
      </c>
    </row>
    <row r="301" spans="1:9" ht="16.5" thickBot="1" x14ac:dyDescent="0.3"/>
    <row r="302" spans="1:9" s="43" customFormat="1" ht="16.5" thickBot="1" x14ac:dyDescent="0.3">
      <c r="A302" s="39" t="s">
        <v>476</v>
      </c>
      <c r="B302" s="39"/>
      <c r="C302" s="39" t="s">
        <v>477</v>
      </c>
      <c r="D302" s="41" t="s">
        <v>20</v>
      </c>
      <c r="E302" s="41"/>
      <c r="F302" s="41" t="str">
        <f>IF(B302="","",VLOOKUP(B302,Ressources!A:H,8,0)*E302)</f>
        <v/>
      </c>
      <c r="G302" s="42">
        <f>SUM(H303:H309)</f>
        <v>48.813000000000002</v>
      </c>
      <c r="H302" s="42" t="str">
        <f t="shared" ref="H302:H309" si="58">IF(B302="","",E302*G302)</f>
        <v/>
      </c>
      <c r="I302" s="42"/>
    </row>
    <row r="303" spans="1:9" x14ac:dyDescent="0.25">
      <c r="B303" s="23" t="s">
        <v>33</v>
      </c>
      <c r="C303" s="23" t="str">
        <f>IF(B303="","",VLOOKUP(B303,Ressources!A:E,5,0))</f>
        <v xml:space="preserve">Main d'œuvre ouvrier qualifié </v>
      </c>
      <c r="D303" s="26" t="str">
        <f>IF(B303="","",VLOOKUP(B303,Ressources!A:F,6,0))</f>
        <v>h</v>
      </c>
      <c r="E303" s="26">
        <v>1.1000000000000001</v>
      </c>
      <c r="F303" s="26">
        <f>IF(B303="","",VLOOKUP(B303,Ressources!A:H,8,0)*E303)</f>
        <v>1.1000000000000001</v>
      </c>
      <c r="G303" s="38">
        <f>IF(B303="","",VLOOKUP(B303,Ressources!A:G,7,0))</f>
        <v>32</v>
      </c>
      <c r="H303" s="38">
        <f t="shared" si="58"/>
        <v>35.200000000000003</v>
      </c>
    </row>
    <row r="304" spans="1:9" x14ac:dyDescent="0.25">
      <c r="B304" s="23" t="s">
        <v>470</v>
      </c>
      <c r="C304" s="23" t="str">
        <f>IF(B304="","",VLOOKUP(B304,Ressources!A:E,5,0))</f>
        <v>Bloc creux 500x150x200mm</v>
      </c>
      <c r="D304" s="26" t="str">
        <f>IF(B304="","",VLOOKUP(B304,Ressources!A:F,6,0))</f>
        <v>u</v>
      </c>
      <c r="E304" s="26">
        <v>10</v>
      </c>
      <c r="F304" s="26">
        <f>IF(B304="","",VLOOKUP(B304,Ressources!A:H,8,0)*E304)</f>
        <v>11</v>
      </c>
      <c r="G304" s="38">
        <f>IF(B304="","",VLOOKUP(B304,Ressources!A:G,7,0))</f>
        <v>1.03</v>
      </c>
      <c r="H304" s="38">
        <f t="shared" si="58"/>
        <v>10.3</v>
      </c>
    </row>
    <row r="305" spans="1:9" x14ac:dyDescent="0.25">
      <c r="C305" s="23" t="str">
        <f>IF(B305="","",VLOOKUP(B305,Ressources!A:E,5,0))</f>
        <v/>
      </c>
      <c r="D305" s="26" t="str">
        <f>IF(B305="","",VLOOKUP(B305,Ressources!A:F,6,0))</f>
        <v/>
      </c>
      <c r="F305" s="26" t="str">
        <f>IF(B305="","",VLOOKUP(B305,Ressources!A:H,8,0)*E305)</f>
        <v/>
      </c>
      <c r="G305" s="38" t="str">
        <f>IF(B305="","",VLOOKUP(B305,Ressources!A:G,7,0))</f>
        <v/>
      </c>
      <c r="H305" s="38" t="str">
        <f t="shared" si="58"/>
        <v/>
      </c>
    </row>
    <row r="306" spans="1:9" x14ac:dyDescent="0.25">
      <c r="B306" s="23" t="s">
        <v>35</v>
      </c>
      <c r="C306" s="23" t="str">
        <f>IF(B306="","",VLOOKUP(B306,Ressources!A:E,5,0))</f>
        <v>Main d'œuvre Manœuvre</v>
      </c>
      <c r="D306" s="26" t="str">
        <f>IF(B306="","",VLOOKUP(B306,Ressources!A:F,6,0))</f>
        <v>h</v>
      </c>
      <c r="E306" s="26">
        <f>1.8*0.02</f>
        <v>3.6000000000000004E-2</v>
      </c>
      <c r="F306" s="26">
        <f>IF(B306="","",VLOOKUP(B306,Ressources!A:H,8,0)*E306)</f>
        <v>3.6000000000000004E-2</v>
      </c>
      <c r="G306" s="38">
        <f>IF(B306="","",VLOOKUP(B306,Ressources!A:G,7,0))</f>
        <v>28</v>
      </c>
      <c r="H306" s="38">
        <f t="shared" si="58"/>
        <v>1.008</v>
      </c>
    </row>
    <row r="307" spans="1:9" x14ac:dyDescent="0.25">
      <c r="B307" s="23" t="s">
        <v>112</v>
      </c>
      <c r="C307" s="23" t="str">
        <f>IF(B307="","",VLOOKUP(B307,Ressources!A:E,5,0))</f>
        <v>Sable 0/4 - 0/5 - Vrac</v>
      </c>
      <c r="D307" s="26" t="str">
        <f>IF(B307="","",VLOOKUP(B307,Ressources!A:F,6,0))</f>
        <v>m3</v>
      </c>
      <c r="E307" s="26">
        <f>0.7*0.02</f>
        <v>1.3999999999999999E-2</v>
      </c>
      <c r="F307" s="26">
        <f>IF(B307="","",VLOOKUP(B307,Ressources!A:H,8,0)*E307)</f>
        <v>1.54E-2</v>
      </c>
      <c r="G307" s="38">
        <f>IF(B307="","",VLOOKUP(B307,Ressources!A:G,7,0))</f>
        <v>61</v>
      </c>
      <c r="H307" s="38">
        <f t="shared" si="58"/>
        <v>0.85399999999999987</v>
      </c>
    </row>
    <row r="308" spans="1:9" x14ac:dyDescent="0.25">
      <c r="B308" s="23" t="s">
        <v>84</v>
      </c>
      <c r="C308" s="23" t="str">
        <f>IF(B308="","",VLOOKUP(B308,Ressources!A:E,5,0))</f>
        <v>Mortier standard M20</v>
      </c>
      <c r="D308" s="26" t="str">
        <f>IF(B308="","",VLOOKUP(B308,Ressources!A:F,6,0))</f>
        <v>kg</v>
      </c>
      <c r="E308" s="26">
        <f>250*0.02</f>
        <v>5</v>
      </c>
      <c r="F308" s="26">
        <f>IF(B308="","",VLOOKUP(B308,Ressources!A:H,8,0)*E308)</f>
        <v>5.5</v>
      </c>
      <c r="G308" s="38">
        <f>IF(B308="","",VLOOKUP(B308,Ressources!A:G,7,0))</f>
        <v>0.28000000000000003</v>
      </c>
      <c r="H308" s="38">
        <f t="shared" si="58"/>
        <v>1.4000000000000001</v>
      </c>
    </row>
    <row r="309" spans="1:9" x14ac:dyDescent="0.25">
      <c r="B309" s="23" t="s">
        <v>359</v>
      </c>
      <c r="C309" s="23" t="str">
        <f>IF(B309="","",VLOOKUP(B309,Ressources!A:E,5,0))</f>
        <v xml:space="preserve">Carburant pour machine </v>
      </c>
      <c r="D309" s="26" t="str">
        <f>IF(B309="","",VLOOKUP(B309,Ressources!A:F,6,0))</f>
        <v>l</v>
      </c>
      <c r="E309" s="26">
        <f>1.5*0.02</f>
        <v>0.03</v>
      </c>
      <c r="F309" s="26">
        <f>IF(B309="","",VLOOKUP(B309,Ressources!A:H,8,0)*E309)</f>
        <v>0.03</v>
      </c>
      <c r="G309" s="38">
        <f>IF(B309="","",VLOOKUP(B309,Ressources!A:G,7,0))</f>
        <v>1.7</v>
      </c>
      <c r="H309" s="38">
        <f t="shared" si="58"/>
        <v>5.0999999999999997E-2</v>
      </c>
    </row>
    <row r="310" spans="1:9" ht="16.5" thickBot="1" x14ac:dyDescent="0.3"/>
    <row r="311" spans="1:9" s="43" customFormat="1" ht="16.5" thickBot="1" x14ac:dyDescent="0.3">
      <c r="A311" s="39" t="s">
        <v>478</v>
      </c>
      <c r="B311" s="39"/>
      <c r="C311" s="39" t="s">
        <v>479</v>
      </c>
      <c r="D311" s="41" t="s">
        <v>20</v>
      </c>
      <c r="E311" s="41"/>
      <c r="F311" s="41" t="str">
        <f>IF(B311="","",VLOOKUP(B311,Ressources!A:H,8,0)*E311)</f>
        <v/>
      </c>
      <c r="G311" s="42">
        <f>SUM(H312:H318)</f>
        <v>52.069499999999998</v>
      </c>
      <c r="H311" s="42" t="str">
        <f t="shared" ref="H311:H318" si="59">IF(B311="","",E311*G311)</f>
        <v/>
      </c>
      <c r="I311" s="42"/>
    </row>
    <row r="312" spans="1:9" x14ac:dyDescent="0.25">
      <c r="B312" s="23" t="s">
        <v>33</v>
      </c>
      <c r="C312" s="23" t="str">
        <f>IF(B312="","",VLOOKUP(B312,Ressources!A:E,5,0))</f>
        <v xml:space="preserve">Main d'œuvre ouvrier qualifié </v>
      </c>
      <c r="D312" s="26" t="str">
        <f>IF(B312="","",VLOOKUP(B312,Ressources!A:F,6,0))</f>
        <v>h</v>
      </c>
      <c r="E312" s="26">
        <v>1.1499999999999999</v>
      </c>
      <c r="F312" s="26">
        <f>IF(B312="","",VLOOKUP(B312,Ressources!A:H,8,0)*E312)</f>
        <v>1.1499999999999999</v>
      </c>
      <c r="G312" s="38">
        <f>IF(B312="","",VLOOKUP(B312,Ressources!A:G,7,0))</f>
        <v>32</v>
      </c>
      <c r="H312" s="38">
        <f t="shared" si="59"/>
        <v>36.799999999999997</v>
      </c>
    </row>
    <row r="313" spans="1:9" x14ac:dyDescent="0.25">
      <c r="B313" s="23" t="s">
        <v>470</v>
      </c>
      <c r="C313" s="23" t="str">
        <f>IF(B313="","",VLOOKUP(B313,Ressources!A:E,5,0))</f>
        <v>Bloc creux 500x150x200mm</v>
      </c>
      <c r="D313" s="26" t="str">
        <f>IF(B313="","",VLOOKUP(B313,Ressources!A:F,6,0))</f>
        <v>u</v>
      </c>
      <c r="E313" s="26">
        <v>10</v>
      </c>
      <c r="F313" s="26">
        <f>IF(B313="","",VLOOKUP(B313,Ressources!A:H,8,0)*E313)</f>
        <v>11</v>
      </c>
      <c r="G313" s="38">
        <f>IF(B313="","",VLOOKUP(B313,Ressources!A:G,7,0))</f>
        <v>1.03</v>
      </c>
      <c r="H313" s="38">
        <f t="shared" si="59"/>
        <v>10.3</v>
      </c>
    </row>
    <row r="314" spans="1:9" x14ac:dyDescent="0.25">
      <c r="C314" s="23" t="str">
        <f>IF(B314="","",VLOOKUP(B314,Ressources!A:E,5,0))</f>
        <v/>
      </c>
      <c r="D314" s="26" t="str">
        <f>IF(B314="","",VLOOKUP(B314,Ressources!A:F,6,0))</f>
        <v/>
      </c>
      <c r="F314" s="26" t="str">
        <f>IF(B314="","",VLOOKUP(B314,Ressources!A:H,8,0)*E314)</f>
        <v/>
      </c>
      <c r="G314" s="38" t="str">
        <f>IF(B314="","",VLOOKUP(B314,Ressources!A:G,7,0))</f>
        <v/>
      </c>
      <c r="H314" s="38" t="str">
        <f t="shared" si="59"/>
        <v/>
      </c>
    </row>
    <row r="315" spans="1:9" x14ac:dyDescent="0.25">
      <c r="B315" s="23" t="s">
        <v>35</v>
      </c>
      <c r="C315" s="23" t="str">
        <f>IF(B315="","",VLOOKUP(B315,Ressources!A:E,5,0))</f>
        <v>Main d'œuvre Manœuvre</v>
      </c>
      <c r="D315" s="26" t="str">
        <f>IF(B315="","",VLOOKUP(B315,Ressources!A:F,6,0))</f>
        <v>h</v>
      </c>
      <c r="E315" s="26">
        <f>1.8*0.03</f>
        <v>5.3999999999999999E-2</v>
      </c>
      <c r="F315" s="26">
        <f>IF(B315="","",VLOOKUP(B315,Ressources!A:H,8,0)*E315)</f>
        <v>5.3999999999999999E-2</v>
      </c>
      <c r="G315" s="38">
        <f>IF(B315="","",VLOOKUP(B315,Ressources!A:G,7,0))</f>
        <v>28</v>
      </c>
      <c r="H315" s="38">
        <f t="shared" si="59"/>
        <v>1.512</v>
      </c>
    </row>
    <row r="316" spans="1:9" x14ac:dyDescent="0.25">
      <c r="B316" s="23" t="s">
        <v>112</v>
      </c>
      <c r="C316" s="23" t="str">
        <f>IF(B316="","",VLOOKUP(B316,Ressources!A:E,5,0))</f>
        <v>Sable 0/4 - 0/5 - Vrac</v>
      </c>
      <c r="D316" s="26" t="str">
        <f>IF(B316="","",VLOOKUP(B316,Ressources!A:F,6,0))</f>
        <v>m3</v>
      </c>
      <c r="E316" s="26">
        <f>0.7*0.03</f>
        <v>2.0999999999999998E-2</v>
      </c>
      <c r="F316" s="26">
        <f>IF(B316="","",VLOOKUP(B316,Ressources!A:H,8,0)*E316)</f>
        <v>2.3099999999999999E-2</v>
      </c>
      <c r="G316" s="38">
        <f>IF(B316="","",VLOOKUP(B316,Ressources!A:G,7,0))</f>
        <v>61</v>
      </c>
      <c r="H316" s="38">
        <f t="shared" si="59"/>
        <v>1.2809999999999999</v>
      </c>
    </row>
    <row r="317" spans="1:9" x14ac:dyDescent="0.25">
      <c r="B317" s="23" t="s">
        <v>84</v>
      </c>
      <c r="C317" s="23" t="str">
        <f>IF(B317="","",VLOOKUP(B317,Ressources!A:E,5,0))</f>
        <v>Mortier standard M20</v>
      </c>
      <c r="D317" s="26" t="str">
        <f>IF(B317="","",VLOOKUP(B317,Ressources!A:F,6,0))</f>
        <v>kg</v>
      </c>
      <c r="E317" s="26">
        <f>250*0.03</f>
        <v>7.5</v>
      </c>
      <c r="F317" s="26">
        <f>IF(B317="","",VLOOKUP(B317,Ressources!A:H,8,0)*E317)</f>
        <v>8.25</v>
      </c>
      <c r="G317" s="38">
        <f>IF(B317="","",VLOOKUP(B317,Ressources!A:G,7,0))</f>
        <v>0.28000000000000003</v>
      </c>
      <c r="H317" s="38">
        <f t="shared" si="59"/>
        <v>2.1</v>
      </c>
    </row>
    <row r="318" spans="1:9" x14ac:dyDescent="0.25">
      <c r="B318" s="23" t="s">
        <v>359</v>
      </c>
      <c r="C318" s="23" t="str">
        <f>IF(B318="","",VLOOKUP(B318,Ressources!A:E,5,0))</f>
        <v xml:space="preserve">Carburant pour machine </v>
      </c>
      <c r="D318" s="26" t="str">
        <f>IF(B318="","",VLOOKUP(B318,Ressources!A:F,6,0))</f>
        <v>l</v>
      </c>
      <c r="E318" s="26">
        <f>1.5*0.03</f>
        <v>4.4999999999999998E-2</v>
      </c>
      <c r="F318" s="26">
        <f>IF(B318="","",VLOOKUP(B318,Ressources!A:H,8,0)*E318)</f>
        <v>4.4999999999999998E-2</v>
      </c>
      <c r="G318" s="38">
        <f>IF(B318="","",VLOOKUP(B318,Ressources!A:G,7,0))</f>
        <v>1.7</v>
      </c>
      <c r="H318" s="38">
        <f t="shared" si="59"/>
        <v>7.6499999999999999E-2</v>
      </c>
    </row>
    <row r="319" spans="1:9" ht="16.5" thickBot="1" x14ac:dyDescent="0.3"/>
    <row r="320" spans="1:9" s="43" customFormat="1" ht="16.5" thickBot="1" x14ac:dyDescent="0.3">
      <c r="A320" s="39" t="s">
        <v>480</v>
      </c>
      <c r="B320" s="39"/>
      <c r="C320" s="39" t="s">
        <v>481</v>
      </c>
      <c r="D320" s="41" t="s">
        <v>18</v>
      </c>
      <c r="E320" s="41"/>
      <c r="F320" s="41" t="str">
        <f>IF(B320="","",VLOOKUP(B320,Ressources!A:H,8,0)*E320)</f>
        <v/>
      </c>
      <c r="G320" s="42">
        <f>SUM(H321:H328)</f>
        <v>65.269499999999994</v>
      </c>
      <c r="H320" s="42" t="str">
        <f t="shared" ref="H320:H328" si="60">IF(B320="","",E320*G320)</f>
        <v/>
      </c>
      <c r="I320" s="42"/>
    </row>
    <row r="321" spans="1:9" x14ac:dyDescent="0.25">
      <c r="B321" s="23" t="s">
        <v>33</v>
      </c>
      <c r="C321" s="23" t="str">
        <f>IF(B321="","",VLOOKUP(B321,Ressources!A:E,5,0))</f>
        <v xml:space="preserve">Main d'œuvre ouvrier qualifié </v>
      </c>
      <c r="D321" s="26" t="str">
        <f>IF(B321="","",VLOOKUP(B321,Ressources!A:F,6,0))</f>
        <v>h</v>
      </c>
      <c r="E321" s="26">
        <v>1.35</v>
      </c>
      <c r="F321" s="26">
        <f>IF(B321="","",VLOOKUP(B321,Ressources!A:H,8,0)*E321)</f>
        <v>1.35</v>
      </c>
      <c r="G321" s="38">
        <f>IF(B321="","",VLOOKUP(B321,Ressources!A:G,7,0))</f>
        <v>32</v>
      </c>
      <c r="H321" s="38">
        <f t="shared" si="60"/>
        <v>43.2</v>
      </c>
    </row>
    <row r="322" spans="1:9" x14ac:dyDescent="0.25">
      <c r="B322" s="23" t="s">
        <v>472</v>
      </c>
      <c r="C322" s="23" t="str">
        <f>IF(B322="","",VLOOKUP(B322,Ressources!A:E,5,0))</f>
        <v>Bloc creux chaînage vertical 500x200x200mm</v>
      </c>
      <c r="D322" s="26" t="str">
        <f>IF(B322="","",VLOOKUP(B322,Ressources!A:F,6,0))</f>
        <v>u</v>
      </c>
      <c r="E322" s="26">
        <v>10</v>
      </c>
      <c r="F322" s="26">
        <f>IF(B322="","",VLOOKUP(B322,Ressources!A:H,8,0)*E322)</f>
        <v>11</v>
      </c>
      <c r="G322" s="38">
        <f>IF(B322="","",VLOOKUP(B322,Ressources!A:G,7,0))</f>
        <v>1.51</v>
      </c>
      <c r="H322" s="38">
        <f t="shared" si="60"/>
        <v>15.1</v>
      </c>
    </row>
    <row r="323" spans="1:9" x14ac:dyDescent="0.25">
      <c r="B323" s="23" t="s">
        <v>135</v>
      </c>
      <c r="C323" s="23" t="str">
        <f>IF(B323="","",VLOOKUP(B323,Ressources!A:E,5,0))</f>
        <v>Acier HA brut</v>
      </c>
      <c r="D323" s="26" t="str">
        <f>IF(B323="","",VLOOKUP(B323,Ressources!A:F,6,0))</f>
        <v>kg</v>
      </c>
      <c r="E323" s="26">
        <v>2</v>
      </c>
      <c r="F323" s="26">
        <f>IF(B323="","",VLOOKUP(B323,Ressources!A:H,8,0)*E323)</f>
        <v>2.1</v>
      </c>
      <c r="G323" s="38">
        <f>IF(B323="","",VLOOKUP(B323,Ressources!A:G,7,0))</f>
        <v>1</v>
      </c>
      <c r="H323" s="38">
        <f t="shared" ref="H323" si="61">IF(B323="","",E323*G323)</f>
        <v>2</v>
      </c>
    </row>
    <row r="324" spans="1:9" x14ac:dyDescent="0.25">
      <c r="C324" s="23" t="str">
        <f>IF(B324="","",VLOOKUP(B324,Ressources!A:E,5,0))</f>
        <v/>
      </c>
      <c r="D324" s="26" t="str">
        <f>IF(B324="","",VLOOKUP(B324,Ressources!A:F,6,0))</f>
        <v/>
      </c>
      <c r="F324" s="26" t="str">
        <f>IF(B324="","",VLOOKUP(B324,Ressources!A:H,8,0)*E324)</f>
        <v/>
      </c>
      <c r="G324" s="38" t="str">
        <f>IF(B324="","",VLOOKUP(B324,Ressources!A:G,7,0))</f>
        <v/>
      </c>
      <c r="H324" s="38" t="str">
        <f t="shared" si="60"/>
        <v/>
      </c>
    </row>
    <row r="325" spans="1:9" x14ac:dyDescent="0.25">
      <c r="B325" s="23" t="s">
        <v>35</v>
      </c>
      <c r="C325" s="23" t="str">
        <f>IF(B325="","",VLOOKUP(B325,Ressources!A:E,5,0))</f>
        <v>Main d'œuvre Manœuvre</v>
      </c>
      <c r="D325" s="26" t="str">
        <f>IF(B325="","",VLOOKUP(B325,Ressources!A:F,6,0))</f>
        <v>h</v>
      </c>
      <c r="E325" s="26">
        <f>1.8*0.03</f>
        <v>5.3999999999999999E-2</v>
      </c>
      <c r="F325" s="26">
        <f>IF(B325="","",VLOOKUP(B325,Ressources!A:H,8,0)*E325)</f>
        <v>5.3999999999999999E-2</v>
      </c>
      <c r="G325" s="38">
        <f>IF(B325="","",VLOOKUP(B325,Ressources!A:G,7,0))</f>
        <v>28</v>
      </c>
      <c r="H325" s="38">
        <f t="shared" si="60"/>
        <v>1.512</v>
      </c>
    </row>
    <row r="326" spans="1:9" x14ac:dyDescent="0.25">
      <c r="B326" s="23" t="s">
        <v>112</v>
      </c>
      <c r="C326" s="23" t="str">
        <f>IF(B326="","",VLOOKUP(B326,Ressources!A:E,5,0))</f>
        <v>Sable 0/4 - 0/5 - Vrac</v>
      </c>
      <c r="D326" s="26" t="str">
        <f>IF(B326="","",VLOOKUP(B326,Ressources!A:F,6,0))</f>
        <v>m3</v>
      </c>
      <c r="E326" s="26">
        <f>0.7*0.03</f>
        <v>2.0999999999999998E-2</v>
      </c>
      <c r="F326" s="26">
        <f>IF(B326="","",VLOOKUP(B326,Ressources!A:H,8,0)*E326)</f>
        <v>2.3099999999999999E-2</v>
      </c>
      <c r="G326" s="38">
        <f>IF(B326="","",VLOOKUP(B326,Ressources!A:G,7,0))</f>
        <v>61</v>
      </c>
      <c r="H326" s="38">
        <f t="shared" si="60"/>
        <v>1.2809999999999999</v>
      </c>
    </row>
    <row r="327" spans="1:9" x14ac:dyDescent="0.25">
      <c r="B327" s="23" t="s">
        <v>84</v>
      </c>
      <c r="C327" s="23" t="str">
        <f>IF(B327="","",VLOOKUP(B327,Ressources!A:E,5,0))</f>
        <v>Mortier standard M20</v>
      </c>
      <c r="D327" s="26" t="str">
        <f>IF(B327="","",VLOOKUP(B327,Ressources!A:F,6,0))</f>
        <v>kg</v>
      </c>
      <c r="E327" s="26">
        <f>250*0.03</f>
        <v>7.5</v>
      </c>
      <c r="F327" s="26">
        <f>IF(B327="","",VLOOKUP(B327,Ressources!A:H,8,0)*E327)</f>
        <v>8.25</v>
      </c>
      <c r="G327" s="38">
        <f>IF(B327="","",VLOOKUP(B327,Ressources!A:G,7,0))</f>
        <v>0.28000000000000003</v>
      </c>
      <c r="H327" s="38">
        <f t="shared" si="60"/>
        <v>2.1</v>
      </c>
    </row>
    <row r="328" spans="1:9" x14ac:dyDescent="0.25">
      <c r="B328" s="23" t="s">
        <v>359</v>
      </c>
      <c r="C328" s="23" t="str">
        <f>IF(B328="","",VLOOKUP(B328,Ressources!A:E,5,0))</f>
        <v xml:space="preserve">Carburant pour machine </v>
      </c>
      <c r="D328" s="26" t="str">
        <f>IF(B328="","",VLOOKUP(B328,Ressources!A:F,6,0))</f>
        <v>l</v>
      </c>
      <c r="E328" s="26">
        <f>1.5*0.03</f>
        <v>4.4999999999999998E-2</v>
      </c>
      <c r="F328" s="26">
        <f>IF(B328="","",VLOOKUP(B328,Ressources!A:H,8,0)*E328)</f>
        <v>4.4999999999999998E-2</v>
      </c>
      <c r="G328" s="38">
        <f>IF(B328="","",VLOOKUP(B328,Ressources!A:G,7,0))</f>
        <v>1.7</v>
      </c>
      <c r="H328" s="38">
        <f t="shared" si="60"/>
        <v>7.6499999999999999E-2</v>
      </c>
    </row>
    <row r="329" spans="1:9" ht="16.5" thickBot="1" x14ac:dyDescent="0.3"/>
    <row r="330" spans="1:9" s="43" customFormat="1" ht="16.5" thickBot="1" x14ac:dyDescent="0.3">
      <c r="A330" s="39" t="s">
        <v>483</v>
      </c>
      <c r="B330" s="39"/>
      <c r="C330" s="39" t="s">
        <v>482</v>
      </c>
      <c r="D330" s="41" t="s">
        <v>18</v>
      </c>
      <c r="E330" s="41"/>
      <c r="F330" s="41" t="str">
        <f>IF(B330="","",VLOOKUP(B330,Ressources!A:H,8,0)*E330)</f>
        <v/>
      </c>
      <c r="G330" s="42">
        <f>SUM(H331:H339)</f>
        <v>37.668999999999997</v>
      </c>
      <c r="H330" s="42" t="str">
        <f t="shared" ref="H330:H339" si="62">IF(B330="","",E330*G330)</f>
        <v/>
      </c>
      <c r="I330" s="42"/>
    </row>
    <row r="331" spans="1:9" x14ac:dyDescent="0.25">
      <c r="B331" s="23" t="s">
        <v>33</v>
      </c>
      <c r="C331" s="23" t="str">
        <f>IF(B331="","",VLOOKUP(B331,Ressources!A:E,5,0))</f>
        <v xml:space="preserve">Main d'œuvre ouvrier qualifié </v>
      </c>
      <c r="D331" s="26" t="str">
        <f>IF(B331="","",VLOOKUP(B331,Ressources!A:F,6,0))</f>
        <v>h</v>
      </c>
      <c r="E331" s="26">
        <v>0.7</v>
      </c>
      <c r="F331" s="26">
        <f>IF(B331="","",VLOOKUP(B331,Ressources!A:H,8,0)*E331)</f>
        <v>0.7</v>
      </c>
      <c r="G331" s="38">
        <f>IF(B331="","",VLOOKUP(B331,Ressources!A:G,7,0))</f>
        <v>32</v>
      </c>
      <c r="H331" s="38">
        <f t="shared" si="62"/>
        <v>22.4</v>
      </c>
    </row>
    <row r="332" spans="1:9" x14ac:dyDescent="0.25">
      <c r="B332" s="23" t="s">
        <v>483</v>
      </c>
      <c r="C332" s="23" t="str">
        <f>IF(B332="","",VLOOKUP(B332,Ressources!A:E,5,0))</f>
        <v>Bloc creux linteau 500x200x200mm</v>
      </c>
      <c r="D332" s="26" t="str">
        <f>IF(B332="","",VLOOKUP(B332,Ressources!A:F,6,0))</f>
        <v>u</v>
      </c>
      <c r="E332" s="26">
        <v>2</v>
      </c>
      <c r="F332" s="26">
        <f>IF(B332="","",VLOOKUP(B332,Ressources!A:H,8,0)*E332)</f>
        <v>2.2000000000000002</v>
      </c>
      <c r="G332" s="38">
        <f>IF(B332="","",VLOOKUP(B332,Ressources!A:G,7,0))</f>
        <v>1.67</v>
      </c>
      <c r="H332" s="38">
        <f t="shared" si="62"/>
        <v>3.34</v>
      </c>
    </row>
    <row r="333" spans="1:9" x14ac:dyDescent="0.25">
      <c r="B333" s="23" t="s">
        <v>135</v>
      </c>
      <c r="C333" s="23" t="str">
        <f>IF(B333="","",VLOOKUP(B333,Ressources!A:E,5,0))</f>
        <v>Acier HA brut</v>
      </c>
      <c r="D333" s="26" t="str">
        <f>IF(B333="","",VLOOKUP(B333,Ressources!A:F,6,0))</f>
        <v>kg</v>
      </c>
      <c r="E333" s="26">
        <v>4</v>
      </c>
      <c r="F333" s="26">
        <f>IF(B333="","",VLOOKUP(B333,Ressources!A:H,8,0)*E333)</f>
        <v>4.2</v>
      </c>
      <c r="G333" s="38">
        <f>IF(B333="","",VLOOKUP(B333,Ressources!A:G,7,0))</f>
        <v>1</v>
      </c>
      <c r="H333" s="38">
        <f t="shared" si="62"/>
        <v>4</v>
      </c>
    </row>
    <row r="334" spans="1:9" x14ac:dyDescent="0.25">
      <c r="C334" s="23" t="str">
        <f>IF(B334="","",VLOOKUP(B334,Ressources!A:E,5,0))</f>
        <v/>
      </c>
      <c r="D334" s="26" t="str">
        <f>IF(B334="","",VLOOKUP(B334,Ressources!A:F,6,0))</f>
        <v/>
      </c>
      <c r="F334" s="26" t="str">
        <f>IF(B334="","",VLOOKUP(B334,Ressources!A:H,8,0)*E334)</f>
        <v/>
      </c>
      <c r="G334" s="38" t="str">
        <f>IF(B334="","",VLOOKUP(B334,Ressources!A:G,7,0))</f>
        <v/>
      </c>
      <c r="H334" s="38" t="str">
        <f t="shared" si="62"/>
        <v/>
      </c>
    </row>
    <row r="335" spans="1:9" x14ac:dyDescent="0.25">
      <c r="B335" s="23" t="s">
        <v>35</v>
      </c>
      <c r="C335" s="23" t="str">
        <f>IF(B335="","",VLOOKUP(B335,Ressources!A:E,5,0))</f>
        <v>Main d'œuvre Manœuvre</v>
      </c>
      <c r="D335" s="26" t="str">
        <f>IF(B335="","",VLOOKUP(B335,Ressources!A:F,6,0))</f>
        <v>h</v>
      </c>
      <c r="E335" s="26">
        <f>1.8*0.03</f>
        <v>5.3999999999999999E-2</v>
      </c>
      <c r="F335" s="26">
        <f>IF(B335="","",VLOOKUP(B335,Ressources!A:H,8,0)*E335)</f>
        <v>5.3999999999999999E-2</v>
      </c>
      <c r="G335" s="38">
        <f>IF(B335="","",VLOOKUP(B335,Ressources!A:G,7,0))</f>
        <v>28</v>
      </c>
      <c r="H335" s="38">
        <f t="shared" si="62"/>
        <v>1.512</v>
      </c>
    </row>
    <row r="336" spans="1:9" x14ac:dyDescent="0.25">
      <c r="B336" s="23" t="s">
        <v>112</v>
      </c>
      <c r="C336" s="23" t="str">
        <f>IF(B336="","",VLOOKUP(B336,Ressources!A:E,5,0))</f>
        <v>Sable 0/4 - 0/5 - Vrac</v>
      </c>
      <c r="D336" s="26" t="str">
        <f>IF(B336="","",VLOOKUP(B336,Ressources!A:F,6,0))</f>
        <v>m3</v>
      </c>
      <c r="E336" s="26">
        <f>0.5*0.03</f>
        <v>1.4999999999999999E-2</v>
      </c>
      <c r="F336" s="26">
        <f>IF(B336="","",VLOOKUP(B336,Ressources!A:H,8,0)*E336)</f>
        <v>1.6500000000000001E-2</v>
      </c>
      <c r="G336" s="38">
        <f>IF(B336="","",VLOOKUP(B336,Ressources!A:G,7,0))</f>
        <v>61</v>
      </c>
      <c r="H336" s="38">
        <f t="shared" si="62"/>
        <v>0.91499999999999992</v>
      </c>
    </row>
    <row r="337" spans="1:9" x14ac:dyDescent="0.25">
      <c r="B337" s="23" t="s">
        <v>119</v>
      </c>
      <c r="C337" s="23" t="str">
        <f>IF(B337="","",VLOOKUP(B337,Ressources!A:E,5,0))</f>
        <v>Gravillon concassés ou roulés - Vrac</v>
      </c>
      <c r="D337" s="26" t="str">
        <f>IF(B337="","",VLOOKUP(B337,Ressources!A:F,6,0))</f>
        <v>m3</v>
      </c>
      <c r="E337" s="26">
        <f>0.7*0.03</f>
        <v>2.0999999999999998E-2</v>
      </c>
      <c r="F337" s="26">
        <f>IF(B337="","",VLOOKUP(B337,Ressources!A:H,8,0)*E337)</f>
        <v>2.3099999999999999E-2</v>
      </c>
      <c r="G337" s="38">
        <f>IF(B337="","",VLOOKUP(B337,Ressources!A:G,7,0))</f>
        <v>62</v>
      </c>
      <c r="H337" s="38">
        <f t="shared" si="62"/>
        <v>1.3019999999999998</v>
      </c>
    </row>
    <row r="338" spans="1:9" x14ac:dyDescent="0.25">
      <c r="B338" s="23" t="s">
        <v>73</v>
      </c>
      <c r="C338" s="23" t="str">
        <f>IF(B338="","",VLOOKUP(B338,Ressources!A:E,5,0))</f>
        <v>Ciment CEM II/B-LL NF 32.5 R - Usage courant</v>
      </c>
      <c r="D338" s="26" t="str">
        <f>IF(B338="","",VLOOKUP(B338,Ressources!A:F,6,0))</f>
        <v>kg</v>
      </c>
      <c r="E338" s="26">
        <f>250*0.03</f>
        <v>7.5</v>
      </c>
      <c r="F338" s="26">
        <f>IF(B338="","",VLOOKUP(B338,Ressources!A:H,8,0)*E338)</f>
        <v>8.25</v>
      </c>
      <c r="G338" s="38">
        <f>IF(B338="","",VLOOKUP(B338,Ressources!A:G,7,0))</f>
        <v>0.22</v>
      </c>
      <c r="H338" s="38">
        <f t="shared" si="62"/>
        <v>1.65</v>
      </c>
    </row>
    <row r="339" spans="1:9" x14ac:dyDescent="0.25">
      <c r="B339" s="23" t="s">
        <v>359</v>
      </c>
      <c r="C339" s="23" t="str">
        <f>IF(B339="","",VLOOKUP(B339,Ressources!A:E,5,0))</f>
        <v xml:space="preserve">Carburant pour machine </v>
      </c>
      <c r="D339" s="26" t="str">
        <f>IF(B339="","",VLOOKUP(B339,Ressources!A:F,6,0))</f>
        <v>l</v>
      </c>
      <c r="E339" s="26">
        <v>1.5</v>
      </c>
      <c r="F339" s="26">
        <f>IF(B339="","",VLOOKUP(B339,Ressources!A:H,8,0)*E339)</f>
        <v>1.5</v>
      </c>
      <c r="G339" s="38">
        <f>IF(B339="","",VLOOKUP(B339,Ressources!A:G,7,0))</f>
        <v>1.7</v>
      </c>
      <c r="H339" s="38">
        <f t="shared" si="62"/>
        <v>2.5499999999999998</v>
      </c>
    </row>
    <row r="340" spans="1:9" ht="16.5" thickBot="1" x14ac:dyDescent="0.3"/>
    <row r="341" spans="1:9" s="43" customFormat="1" ht="16.5" thickBot="1" x14ac:dyDescent="0.3">
      <c r="A341" s="39" t="s">
        <v>502</v>
      </c>
      <c r="B341" s="39"/>
      <c r="C341" s="39" t="s">
        <v>503</v>
      </c>
      <c r="D341" s="41" t="s">
        <v>18</v>
      </c>
      <c r="E341" s="41"/>
      <c r="F341" s="41" t="str">
        <f>IF(B341="","",VLOOKUP(B341,Ressources!A:H,8,0)*E341)</f>
        <v/>
      </c>
      <c r="G341" s="42">
        <f>SUM(H342:H347)</f>
        <v>11.256499999999997</v>
      </c>
      <c r="H341" s="42" t="str">
        <f t="shared" ref="H341:H347" si="63">IF(B341="","",E341*G341)</f>
        <v/>
      </c>
      <c r="I341" s="42"/>
    </row>
    <row r="342" spans="1:9" x14ac:dyDescent="0.25">
      <c r="B342" s="23" t="s">
        <v>33</v>
      </c>
      <c r="C342" s="23" t="str">
        <f>IF(B342="","",VLOOKUP(B342,Ressources!A:E,5,0))</f>
        <v xml:space="preserve">Main d'œuvre ouvrier qualifié </v>
      </c>
      <c r="D342" s="26" t="str">
        <f>IF(B342="","",VLOOKUP(B342,Ressources!A:F,6,0))</f>
        <v>h</v>
      </c>
      <c r="E342" s="26">
        <v>0.3</v>
      </c>
      <c r="F342" s="26">
        <f>IF(B342="","",VLOOKUP(B342,Ressources!A:H,8,0)*E342)</f>
        <v>0.3</v>
      </c>
      <c r="G342" s="38">
        <f>IF(B342="","",VLOOKUP(B342,Ressources!A:G,7,0))</f>
        <v>32</v>
      </c>
      <c r="H342" s="38">
        <f t="shared" si="63"/>
        <v>9.6</v>
      </c>
    </row>
    <row r="343" spans="1:9" x14ac:dyDescent="0.25">
      <c r="C343" s="23" t="str">
        <f>IF(B343="","",VLOOKUP(B343,Ressources!A:E,5,0))</f>
        <v/>
      </c>
      <c r="D343" s="26" t="str">
        <f>IF(B343="","",VLOOKUP(B343,Ressources!A:F,6,0))</f>
        <v/>
      </c>
      <c r="F343" s="26" t="str">
        <f>IF(B343="","",VLOOKUP(B343,Ressources!A:H,8,0)*E343)</f>
        <v/>
      </c>
      <c r="G343" s="38" t="str">
        <f>IF(B343="","",VLOOKUP(B343,Ressources!A:G,7,0))</f>
        <v/>
      </c>
      <c r="H343" s="38" t="str">
        <f t="shared" si="63"/>
        <v/>
      </c>
    </row>
    <row r="344" spans="1:9" x14ac:dyDescent="0.25">
      <c r="B344" s="23" t="s">
        <v>35</v>
      </c>
      <c r="C344" s="23" t="str">
        <f>IF(B344="","",VLOOKUP(B344,Ressources!A:E,5,0))</f>
        <v>Main d'œuvre Manœuvre</v>
      </c>
      <c r="D344" s="26" t="str">
        <f>IF(B344="","",VLOOKUP(B344,Ressources!A:F,6,0))</f>
        <v>h</v>
      </c>
      <c r="E344" s="26">
        <f>1.8*0.01</f>
        <v>1.8000000000000002E-2</v>
      </c>
      <c r="F344" s="26">
        <f>IF(B344="","",VLOOKUP(B344,Ressources!A:H,8,0)*E344)</f>
        <v>1.8000000000000002E-2</v>
      </c>
      <c r="G344" s="38">
        <f>IF(B344="","",VLOOKUP(B344,Ressources!A:G,7,0))</f>
        <v>28</v>
      </c>
      <c r="H344" s="38">
        <f t="shared" si="63"/>
        <v>0.504</v>
      </c>
    </row>
    <row r="345" spans="1:9" x14ac:dyDescent="0.25">
      <c r="B345" s="23" t="s">
        <v>112</v>
      </c>
      <c r="C345" s="23" t="str">
        <f>IF(B345="","",VLOOKUP(B345,Ressources!A:E,5,0))</f>
        <v>Sable 0/4 - 0/5 - Vrac</v>
      </c>
      <c r="D345" s="26" t="str">
        <f>IF(B345="","",VLOOKUP(B345,Ressources!A:F,6,0))</f>
        <v>m3</v>
      </c>
      <c r="E345" s="26">
        <f>0.7*0.01</f>
        <v>6.9999999999999993E-3</v>
      </c>
      <c r="F345" s="26">
        <f>IF(B345="","",VLOOKUP(B345,Ressources!A:H,8,0)*E345)</f>
        <v>7.7000000000000002E-3</v>
      </c>
      <c r="G345" s="38">
        <f>IF(B345="","",VLOOKUP(B345,Ressources!A:G,7,0))</f>
        <v>61</v>
      </c>
      <c r="H345" s="38">
        <f t="shared" si="63"/>
        <v>0.42699999999999994</v>
      </c>
    </row>
    <row r="346" spans="1:9" x14ac:dyDescent="0.25">
      <c r="B346" s="23" t="s">
        <v>84</v>
      </c>
      <c r="C346" s="23" t="str">
        <f>IF(B346="","",VLOOKUP(B346,Ressources!A:E,5,0))</f>
        <v>Mortier standard M20</v>
      </c>
      <c r="D346" s="26" t="str">
        <f>IF(B346="","",VLOOKUP(B346,Ressources!A:F,6,0))</f>
        <v>kg</v>
      </c>
      <c r="E346" s="26">
        <f>250*0.01</f>
        <v>2.5</v>
      </c>
      <c r="F346" s="26">
        <f>IF(B346="","",VLOOKUP(B346,Ressources!A:H,8,0)*E346)</f>
        <v>2.75</v>
      </c>
      <c r="G346" s="38">
        <f>IF(B346="","",VLOOKUP(B346,Ressources!A:G,7,0))</f>
        <v>0.28000000000000003</v>
      </c>
      <c r="H346" s="38">
        <f t="shared" si="63"/>
        <v>0.70000000000000007</v>
      </c>
    </row>
    <row r="347" spans="1:9" x14ac:dyDescent="0.25">
      <c r="B347" s="23" t="s">
        <v>359</v>
      </c>
      <c r="C347" s="23" t="str">
        <f>IF(B347="","",VLOOKUP(B347,Ressources!A:E,5,0))</f>
        <v xml:space="preserve">Carburant pour machine </v>
      </c>
      <c r="D347" s="26" t="str">
        <f>IF(B347="","",VLOOKUP(B347,Ressources!A:F,6,0))</f>
        <v>l</v>
      </c>
      <c r="E347" s="26">
        <f>1.5*0.01</f>
        <v>1.4999999999999999E-2</v>
      </c>
      <c r="F347" s="26">
        <f>IF(B347="","",VLOOKUP(B347,Ressources!A:H,8,0)*E347)</f>
        <v>1.4999999999999999E-2</v>
      </c>
      <c r="G347" s="38">
        <f>IF(B347="","",VLOOKUP(B347,Ressources!A:G,7,0))</f>
        <v>1.7</v>
      </c>
      <c r="H347" s="38">
        <f t="shared" si="63"/>
        <v>2.5499999999999998E-2</v>
      </c>
    </row>
    <row r="348" spans="1:9" ht="16.5" thickBot="1" x14ac:dyDescent="0.3"/>
    <row r="349" spans="1:9" s="43" customFormat="1" ht="16.5" thickBot="1" x14ac:dyDescent="0.3">
      <c r="A349" s="39" t="s">
        <v>505</v>
      </c>
      <c r="B349" s="39"/>
      <c r="C349" s="39" t="s">
        <v>503</v>
      </c>
      <c r="D349" s="41" t="s">
        <v>18</v>
      </c>
      <c r="E349" s="41"/>
      <c r="F349" s="41" t="str">
        <f>IF(B349="","",VLOOKUP(B349,Ressources!A:H,8,0)*E349)</f>
        <v/>
      </c>
      <c r="G349" s="42">
        <f>SUM(H350:H356)</f>
        <v>11.521499999999998</v>
      </c>
      <c r="H349" s="42" t="str">
        <f t="shared" ref="H349:H356" si="64">IF(B349="","",E349*G349)</f>
        <v/>
      </c>
      <c r="I349" s="42"/>
    </row>
    <row r="350" spans="1:9" x14ac:dyDescent="0.25">
      <c r="B350" s="23" t="s">
        <v>33</v>
      </c>
      <c r="C350" s="23" t="str">
        <f>IF(B350="","",VLOOKUP(B350,Ressources!A:E,5,0))</f>
        <v xml:space="preserve">Main d'œuvre ouvrier qualifié </v>
      </c>
      <c r="D350" s="26" t="str">
        <f>IF(B350="","",VLOOKUP(B350,Ressources!A:F,6,0))</f>
        <v>h</v>
      </c>
      <c r="E350" s="26">
        <v>0.3</v>
      </c>
      <c r="F350" s="26">
        <f>IF(B350="","",VLOOKUP(B350,Ressources!A:H,8,0)*E350)</f>
        <v>0.3</v>
      </c>
      <c r="G350" s="38">
        <f>IF(B350="","",VLOOKUP(B350,Ressources!A:G,7,0))</f>
        <v>32</v>
      </c>
      <c r="H350" s="38">
        <f t="shared" si="64"/>
        <v>9.6</v>
      </c>
    </row>
    <row r="351" spans="1:9" x14ac:dyDescent="0.25">
      <c r="C351" s="23" t="str">
        <f>IF(B351="","",VLOOKUP(B351,Ressources!A:E,5,0))</f>
        <v/>
      </c>
      <c r="D351" s="26" t="str">
        <f>IF(B351="","",VLOOKUP(B351,Ressources!A:F,6,0))</f>
        <v/>
      </c>
      <c r="F351" s="26" t="str">
        <f>IF(B351="","",VLOOKUP(B351,Ressources!A:H,8,0)*E351)</f>
        <v/>
      </c>
      <c r="G351" s="38" t="str">
        <f>IF(B351="","",VLOOKUP(B351,Ressources!A:G,7,0))</f>
        <v/>
      </c>
      <c r="H351" s="38" t="str">
        <f t="shared" si="64"/>
        <v/>
      </c>
    </row>
    <row r="352" spans="1:9" x14ac:dyDescent="0.25">
      <c r="B352" s="23" t="s">
        <v>35</v>
      </c>
      <c r="C352" s="23" t="str">
        <f>IF(B352="","",VLOOKUP(B352,Ressources!A:E,5,0))</f>
        <v>Main d'œuvre Manœuvre</v>
      </c>
      <c r="D352" s="26" t="str">
        <f>IF(B352="","",VLOOKUP(B352,Ressources!A:F,6,0))</f>
        <v>h</v>
      </c>
      <c r="E352" s="26">
        <f>1.8*0.01</f>
        <v>1.8000000000000002E-2</v>
      </c>
      <c r="F352" s="26">
        <f>IF(B352="","",VLOOKUP(B352,Ressources!A:H,8,0)*E352)</f>
        <v>1.8000000000000002E-2</v>
      </c>
      <c r="G352" s="38">
        <f>IF(B352="","",VLOOKUP(B352,Ressources!A:G,7,0))</f>
        <v>28</v>
      </c>
      <c r="H352" s="38">
        <f t="shared" si="64"/>
        <v>0.504</v>
      </c>
    </row>
    <row r="353" spans="1:9" x14ac:dyDescent="0.25">
      <c r="B353" s="23" t="s">
        <v>112</v>
      </c>
      <c r="C353" s="23" t="str">
        <f>IF(B353="","",VLOOKUP(B353,Ressources!A:E,5,0))</f>
        <v>Sable 0/4 - 0/5 - Vrac</v>
      </c>
      <c r="D353" s="26" t="str">
        <f>IF(B353="","",VLOOKUP(B353,Ressources!A:F,6,0))</f>
        <v>m3</v>
      </c>
      <c r="E353" s="26">
        <f>0.7*0.01</f>
        <v>6.9999999999999993E-3</v>
      </c>
      <c r="F353" s="26">
        <f>IF(B353="","",VLOOKUP(B353,Ressources!A:H,8,0)*E353)</f>
        <v>7.7000000000000002E-3</v>
      </c>
      <c r="G353" s="38">
        <f>IF(B353="","",VLOOKUP(B353,Ressources!A:G,7,0))</f>
        <v>61</v>
      </c>
      <c r="H353" s="38">
        <f t="shared" si="64"/>
        <v>0.42699999999999994</v>
      </c>
    </row>
    <row r="354" spans="1:9" x14ac:dyDescent="0.25">
      <c r="B354" s="23" t="s">
        <v>84</v>
      </c>
      <c r="C354" s="23" t="str">
        <f>IF(B354="","",VLOOKUP(B354,Ressources!A:E,5,0))</f>
        <v>Mortier standard M20</v>
      </c>
      <c r="D354" s="26" t="str">
        <f>IF(B354="","",VLOOKUP(B354,Ressources!A:F,6,0))</f>
        <v>kg</v>
      </c>
      <c r="E354" s="26">
        <f>250*0.01</f>
        <v>2.5</v>
      </c>
      <c r="F354" s="26">
        <f>IF(B354="","",VLOOKUP(B354,Ressources!A:H,8,0)*E354)</f>
        <v>2.75</v>
      </c>
      <c r="G354" s="38">
        <f>IF(B354="","",VLOOKUP(B354,Ressources!A:G,7,0))</f>
        <v>0.28000000000000003</v>
      </c>
      <c r="H354" s="38">
        <f t="shared" si="64"/>
        <v>0.70000000000000007</v>
      </c>
    </row>
    <row r="355" spans="1:9" x14ac:dyDescent="0.25">
      <c r="B355" s="23" t="s">
        <v>273</v>
      </c>
      <c r="C355" s="23" t="str">
        <f>IF(B355="","",VLOOKUP(B355,Ressources!A:E,5,0))</f>
        <v>Hydrofuge béton et mortier</v>
      </c>
      <c r="D355" s="26" t="str">
        <f>IF(B355="","",VLOOKUP(B355,Ressources!A:F,6,0))</f>
        <v>l</v>
      </c>
      <c r="E355" s="26">
        <f>5*0.01</f>
        <v>0.05</v>
      </c>
      <c r="F355" s="26">
        <f>IF(B355="","",VLOOKUP(B355,Ressources!A:H,8,0)*E355)</f>
        <v>5.2500000000000005E-2</v>
      </c>
      <c r="G355" s="38">
        <f>IF(B355="","",VLOOKUP(B355,Ressources!A:G,7,0))</f>
        <v>5.3</v>
      </c>
      <c r="H355" s="38">
        <f t="shared" ref="H355" si="65">IF(B355="","",E355*G355)</f>
        <v>0.26500000000000001</v>
      </c>
    </row>
    <row r="356" spans="1:9" x14ac:dyDescent="0.25">
      <c r="B356" s="23" t="s">
        <v>359</v>
      </c>
      <c r="C356" s="23" t="str">
        <f>IF(B356="","",VLOOKUP(B356,Ressources!A:E,5,0))</f>
        <v xml:space="preserve">Carburant pour machine </v>
      </c>
      <c r="D356" s="26" t="str">
        <f>IF(B356="","",VLOOKUP(B356,Ressources!A:F,6,0))</f>
        <v>l</v>
      </c>
      <c r="E356" s="26">
        <f>1.5*0.01</f>
        <v>1.4999999999999999E-2</v>
      </c>
      <c r="F356" s="26">
        <f>IF(B356="","",VLOOKUP(B356,Ressources!A:H,8,0)*E356)</f>
        <v>1.4999999999999999E-2</v>
      </c>
      <c r="G356" s="38">
        <f>IF(B356="","",VLOOKUP(B356,Ressources!A:G,7,0))</f>
        <v>1.7</v>
      </c>
      <c r="H356" s="38">
        <f t="shared" si="64"/>
        <v>2.5499999999999998E-2</v>
      </c>
    </row>
    <row r="357" spans="1:9" ht="16.5" thickBot="1" x14ac:dyDescent="0.3"/>
    <row r="358" spans="1:9" s="43" customFormat="1" ht="16.5" thickBot="1" x14ac:dyDescent="0.3">
      <c r="A358" s="39" t="s">
        <v>509</v>
      </c>
      <c r="B358" s="39"/>
      <c r="C358" s="39" t="s">
        <v>510</v>
      </c>
      <c r="D358" s="41" t="s">
        <v>18</v>
      </c>
      <c r="E358" s="41"/>
      <c r="F358" s="41" t="str">
        <f>IF(B358="","",VLOOKUP(B358,Ressources!A:H,8,0)*E358)</f>
        <v/>
      </c>
      <c r="G358" s="42">
        <f>SUM(H359:H367)</f>
        <v>27.255499999999998</v>
      </c>
      <c r="H358" s="42" t="str">
        <f t="shared" ref="H358:H367" si="66">IF(B358="","",E358*G358)</f>
        <v/>
      </c>
      <c r="I358" s="42"/>
    </row>
    <row r="359" spans="1:9" x14ac:dyDescent="0.25">
      <c r="B359" s="23" t="s">
        <v>33</v>
      </c>
      <c r="C359" s="23" t="str">
        <f>IF(B359="","",VLOOKUP(B359,Ressources!A:E,5,0))</f>
        <v xml:space="preserve">Main d'œuvre ouvrier qualifié </v>
      </c>
      <c r="D359" s="26" t="str">
        <f>IF(B359="","",VLOOKUP(B359,Ressources!A:F,6,0))</f>
        <v>h</v>
      </c>
      <c r="E359" s="26">
        <v>0.5</v>
      </c>
      <c r="F359" s="26">
        <f>IF(B359="","",VLOOKUP(B359,Ressources!A:H,8,0)*E359)</f>
        <v>0.5</v>
      </c>
      <c r="G359" s="38">
        <f>IF(B359="","",VLOOKUP(B359,Ressources!A:G,7,0))</f>
        <v>32</v>
      </c>
      <c r="H359" s="38">
        <f t="shared" si="66"/>
        <v>16</v>
      </c>
    </row>
    <row r="360" spans="1:9" x14ac:dyDescent="0.25">
      <c r="B360" s="23" t="s">
        <v>507</v>
      </c>
      <c r="C360" s="23" t="str">
        <f>IF(B360="","",VLOOKUP(B360,Ressources!A:E,5,0))</f>
        <v>Planelle de rive 50x200</v>
      </c>
      <c r="D360" s="26" t="str">
        <f>IF(B360="","",VLOOKUP(B360,Ressources!A:F,6,0))</f>
        <v>u</v>
      </c>
      <c r="E360" s="26">
        <v>2</v>
      </c>
      <c r="F360" s="26">
        <f>IF(B360="","",VLOOKUP(B360,Ressources!A:H,8,0)*E360)</f>
        <v>2.2000000000000002</v>
      </c>
      <c r="G360" s="38">
        <f>IF(B360="","",VLOOKUP(B360,Ressources!A:G,7,0))</f>
        <v>1.4</v>
      </c>
      <c r="H360" s="38">
        <f t="shared" ref="H360" si="67">IF(B360="","",E360*G360)</f>
        <v>2.8</v>
      </c>
    </row>
    <row r="361" spans="1:9" x14ac:dyDescent="0.25">
      <c r="B361" s="23" t="s">
        <v>135</v>
      </c>
      <c r="C361" s="23" t="str">
        <f>IF(B361="","",VLOOKUP(B361,Ressources!A:E,5,0))</f>
        <v>Acier HA brut</v>
      </c>
      <c r="D361" s="26" t="str">
        <f>IF(B361="","",VLOOKUP(B361,Ressources!A:F,6,0))</f>
        <v>kg</v>
      </c>
      <c r="E361" s="26">
        <v>3</v>
      </c>
      <c r="F361" s="26">
        <f>IF(B361="","",VLOOKUP(B361,Ressources!A:H,8,0)*E361)</f>
        <v>3.1500000000000004</v>
      </c>
      <c r="G361" s="38">
        <f>IF(B361="","",VLOOKUP(B361,Ressources!A:G,7,0))</f>
        <v>1</v>
      </c>
      <c r="H361" s="38">
        <f t="shared" si="66"/>
        <v>3</v>
      </c>
    </row>
    <row r="362" spans="1:9" x14ac:dyDescent="0.25">
      <c r="C362" s="23" t="str">
        <f>IF(B362="","",VLOOKUP(B362,Ressources!A:E,5,0))</f>
        <v/>
      </c>
      <c r="D362" s="26" t="str">
        <f>IF(B362="","",VLOOKUP(B362,Ressources!A:F,6,0))</f>
        <v/>
      </c>
      <c r="F362" s="26" t="str">
        <f>IF(B362="","",VLOOKUP(B362,Ressources!A:H,8,0)*E362)</f>
        <v/>
      </c>
      <c r="G362" s="38" t="str">
        <f>IF(B362="","",VLOOKUP(B362,Ressources!A:G,7,0))</f>
        <v/>
      </c>
      <c r="H362" s="38" t="str">
        <f t="shared" si="66"/>
        <v/>
      </c>
    </row>
    <row r="363" spans="1:9" x14ac:dyDescent="0.25">
      <c r="B363" s="23" t="s">
        <v>35</v>
      </c>
      <c r="C363" s="23" t="str">
        <f>IF(B363="","",VLOOKUP(B363,Ressources!A:E,5,0))</f>
        <v>Main d'œuvre Manœuvre</v>
      </c>
      <c r="D363" s="26" t="str">
        <f>IF(B363="","",VLOOKUP(B363,Ressources!A:F,6,0))</f>
        <v>h</v>
      </c>
      <c r="E363" s="26">
        <f>1.8*0.03</f>
        <v>5.3999999999999999E-2</v>
      </c>
      <c r="F363" s="26">
        <f>IF(B363="","",VLOOKUP(B363,Ressources!A:H,8,0)*E363)</f>
        <v>5.3999999999999999E-2</v>
      </c>
      <c r="G363" s="38">
        <f>IF(B363="","",VLOOKUP(B363,Ressources!A:G,7,0))</f>
        <v>28</v>
      </c>
      <c r="H363" s="38">
        <f t="shared" si="66"/>
        <v>1.512</v>
      </c>
    </row>
    <row r="364" spans="1:9" x14ac:dyDescent="0.25">
      <c r="B364" s="23" t="s">
        <v>112</v>
      </c>
      <c r="C364" s="23" t="str">
        <f>IF(B364="","",VLOOKUP(B364,Ressources!A:E,5,0))</f>
        <v>Sable 0/4 - 0/5 - Vrac</v>
      </c>
      <c r="D364" s="26" t="str">
        <f>IF(B364="","",VLOOKUP(B364,Ressources!A:F,6,0))</f>
        <v>m3</v>
      </c>
      <c r="E364" s="26">
        <f>0.5*0.03</f>
        <v>1.4999999999999999E-2</v>
      </c>
      <c r="F364" s="26">
        <f>IF(B364="","",VLOOKUP(B364,Ressources!A:H,8,0)*E364)</f>
        <v>1.6500000000000001E-2</v>
      </c>
      <c r="G364" s="38">
        <f>IF(B364="","",VLOOKUP(B364,Ressources!A:G,7,0))</f>
        <v>61</v>
      </c>
      <c r="H364" s="38">
        <f t="shared" si="66"/>
        <v>0.91499999999999992</v>
      </c>
    </row>
    <row r="365" spans="1:9" x14ac:dyDescent="0.25">
      <c r="B365" s="23" t="s">
        <v>119</v>
      </c>
      <c r="C365" s="23" t="str">
        <f>IF(B365="","",VLOOKUP(B365,Ressources!A:E,5,0))</f>
        <v>Gravillon concassés ou roulés - Vrac</v>
      </c>
      <c r="D365" s="26" t="str">
        <f>IF(B365="","",VLOOKUP(B365,Ressources!A:F,6,0))</f>
        <v>m3</v>
      </c>
      <c r="E365" s="26">
        <f>0.7*0.03</f>
        <v>2.0999999999999998E-2</v>
      </c>
      <c r="F365" s="26">
        <f>IF(B365="","",VLOOKUP(B365,Ressources!A:H,8,0)*E365)</f>
        <v>2.3099999999999999E-2</v>
      </c>
      <c r="G365" s="38">
        <f>IF(B365="","",VLOOKUP(B365,Ressources!A:G,7,0))</f>
        <v>62</v>
      </c>
      <c r="H365" s="38">
        <f t="shared" si="66"/>
        <v>1.3019999999999998</v>
      </c>
    </row>
    <row r="366" spans="1:9" x14ac:dyDescent="0.25">
      <c r="B366" s="23" t="s">
        <v>73</v>
      </c>
      <c r="C366" s="23" t="str">
        <f>IF(B366="","",VLOOKUP(B366,Ressources!A:E,5,0))</f>
        <v>Ciment CEM II/B-LL NF 32.5 R - Usage courant</v>
      </c>
      <c r="D366" s="26" t="str">
        <f>IF(B366="","",VLOOKUP(B366,Ressources!A:F,6,0))</f>
        <v>kg</v>
      </c>
      <c r="E366" s="26">
        <f>250*0.03</f>
        <v>7.5</v>
      </c>
      <c r="F366" s="26">
        <f>IF(B366="","",VLOOKUP(B366,Ressources!A:H,8,0)*E366)</f>
        <v>8.25</v>
      </c>
      <c r="G366" s="38">
        <f>IF(B366="","",VLOOKUP(B366,Ressources!A:G,7,0))</f>
        <v>0.22</v>
      </c>
      <c r="H366" s="38">
        <f t="shared" si="66"/>
        <v>1.65</v>
      </c>
    </row>
    <row r="367" spans="1:9" x14ac:dyDescent="0.25">
      <c r="B367" s="23" t="s">
        <v>359</v>
      </c>
      <c r="C367" s="23" t="str">
        <f>IF(B367="","",VLOOKUP(B367,Ressources!A:E,5,0))</f>
        <v xml:space="preserve">Carburant pour machine </v>
      </c>
      <c r="D367" s="26" t="str">
        <f>IF(B367="","",VLOOKUP(B367,Ressources!A:F,6,0))</f>
        <v>l</v>
      </c>
      <c r="E367" s="26">
        <f>1.5*0.03</f>
        <v>4.4999999999999998E-2</v>
      </c>
      <c r="F367" s="26">
        <f>IF(B367="","",VLOOKUP(B367,Ressources!A:H,8,0)*E367)</f>
        <v>4.4999999999999998E-2</v>
      </c>
      <c r="G367" s="38">
        <f>IF(B367="","",VLOOKUP(B367,Ressources!A:G,7,0))</f>
        <v>1.7</v>
      </c>
      <c r="H367" s="38">
        <f t="shared" si="66"/>
        <v>7.6499999999999999E-2</v>
      </c>
    </row>
    <row r="368" spans="1:9" ht="16.5" thickBot="1" x14ac:dyDescent="0.3"/>
    <row r="369" spans="1:9" s="43" customFormat="1" ht="16.5" thickBot="1" x14ac:dyDescent="0.3">
      <c r="A369" s="39" t="s">
        <v>506</v>
      </c>
      <c r="B369" s="39"/>
      <c r="C369" s="39" t="s">
        <v>513</v>
      </c>
      <c r="D369" s="41" t="s">
        <v>21</v>
      </c>
      <c r="E369" s="41"/>
      <c r="F369" s="41" t="str">
        <f>IF(B369="","",VLOOKUP(B369,Ressources!A:H,8,0)*E369)</f>
        <v/>
      </c>
      <c r="G369" s="42">
        <f>SUM(H370:H371)</f>
        <v>153</v>
      </c>
      <c r="H369" s="42" t="str">
        <f t="shared" ref="H369:H371" si="68">IF(B369="","",E369*G369)</f>
        <v/>
      </c>
      <c r="I369" s="42"/>
    </row>
    <row r="370" spans="1:9" x14ac:dyDescent="0.25">
      <c r="B370" s="23" t="s">
        <v>33</v>
      </c>
      <c r="C370" s="23" t="str">
        <f>IF(B370="","",VLOOKUP(B370,Ressources!A:E,5,0))</f>
        <v xml:space="preserve">Main d'œuvre ouvrier qualifié </v>
      </c>
      <c r="D370" s="26" t="str">
        <f>IF(B370="","",VLOOKUP(B370,Ressources!A:F,6,0))</f>
        <v>h</v>
      </c>
      <c r="E370" s="26">
        <v>1.5</v>
      </c>
      <c r="F370" s="26">
        <f>IF(B370="","",VLOOKUP(B370,Ressources!A:H,8,0)*E370)</f>
        <v>1.5</v>
      </c>
      <c r="G370" s="38">
        <f>IF(B370="","",VLOOKUP(B370,Ressources!A:G,7,0))</f>
        <v>32</v>
      </c>
      <c r="H370" s="38">
        <f t="shared" si="68"/>
        <v>48</v>
      </c>
    </row>
    <row r="371" spans="1:9" x14ac:dyDescent="0.25">
      <c r="B371" s="23" t="s">
        <v>41</v>
      </c>
      <c r="C371" s="23" t="str">
        <f>IF(B371="","",VLOOKUP(B371,Ressources!A:E,5,0))</f>
        <v>Béton XC2 C20/25</v>
      </c>
      <c r="D371" s="26" t="str">
        <f>IF(B371="","",VLOOKUP(B371,Ressources!A:F,6,0))</f>
        <v>m3</v>
      </c>
      <c r="E371" s="26">
        <v>1</v>
      </c>
      <c r="F371" s="26">
        <f>IF(B371="","",VLOOKUP(B371,Ressources!A:H,8,0)*E371)</f>
        <v>1.03</v>
      </c>
      <c r="G371" s="38">
        <f>IF(B371="","",VLOOKUP(B371,Ressources!A:G,7,0))</f>
        <v>105</v>
      </c>
      <c r="H371" s="38">
        <f t="shared" si="68"/>
        <v>105</v>
      </c>
    </row>
    <row r="372" spans="1:9" ht="16.5" thickBot="1" x14ac:dyDescent="0.3">
      <c r="C372" s="23" t="str">
        <f>IF(B372="","",VLOOKUP(B372,Ressources!A:E,5,0))</f>
        <v/>
      </c>
      <c r="F372" s="26" t="str">
        <f>IF(B372="","",VLOOKUP(B372,Ressources!A:H,8,0)*E372)</f>
        <v/>
      </c>
    </row>
    <row r="373" spans="1:9" s="43" customFormat="1" ht="16.5" thickBot="1" x14ac:dyDescent="0.3">
      <c r="A373" s="39" t="s">
        <v>511</v>
      </c>
      <c r="B373" s="39"/>
      <c r="C373" s="39" t="s">
        <v>514</v>
      </c>
      <c r="D373" s="41" t="s">
        <v>20</v>
      </c>
      <c r="E373" s="41"/>
      <c r="F373" s="41" t="str">
        <f>IF(B373="","",VLOOKUP(B373,Ressources!A:H,8,0)*E373)</f>
        <v/>
      </c>
      <c r="G373" s="42">
        <f>SUM(H374:H376)</f>
        <v>39.6</v>
      </c>
      <c r="H373" s="42" t="str">
        <f t="shared" ref="H373:H376" si="69">IF(B373="","",E373*G373)</f>
        <v/>
      </c>
      <c r="I373" s="42"/>
    </row>
    <row r="374" spans="1:9" x14ac:dyDescent="0.25">
      <c r="B374" s="23" t="s">
        <v>33</v>
      </c>
      <c r="C374" s="23" t="str">
        <f>IF(B374="","",VLOOKUP(B374,Ressources!A:E,5,0))</f>
        <v xml:space="preserve">Main d'œuvre ouvrier qualifié </v>
      </c>
      <c r="D374" s="26" t="str">
        <f>IF(B374="","",VLOOKUP(B374,Ressources!A:F,6,0))</f>
        <v>h</v>
      </c>
      <c r="E374" s="26">
        <v>1.2</v>
      </c>
      <c r="F374" s="26">
        <f>IF(B374="","",VLOOKUP(B374,Ressources!A:H,8,0)*E374)</f>
        <v>1.2</v>
      </c>
      <c r="G374" s="38">
        <f>IF(B374="","",VLOOKUP(B374,Ressources!A:G,7,0))</f>
        <v>32</v>
      </c>
      <c r="H374" s="38">
        <f t="shared" si="69"/>
        <v>38.4</v>
      </c>
    </row>
    <row r="375" spans="1:9" x14ac:dyDescent="0.25">
      <c r="B375" s="23" t="s">
        <v>173</v>
      </c>
      <c r="C375" s="23" t="str">
        <f>IF(B375="","",VLOOKUP(B375,Ressources!A:E,5,0))</f>
        <v>Planche de coffrage non traité ep27mm</v>
      </c>
      <c r="D375" s="26" t="str">
        <f>IF(B375="","",VLOOKUP(B375,Ressources!A:F,6,0))</f>
        <v>m2</v>
      </c>
      <c r="E375" s="26">
        <v>0.2</v>
      </c>
      <c r="F375" s="26">
        <f>IF(B375="","",VLOOKUP(B375,Ressources!A:H,8,0)*E375)</f>
        <v>0.1</v>
      </c>
      <c r="G375" s="38">
        <f>IF(B375="","",VLOOKUP(B375,Ressources!A:G,7,0))</f>
        <v>3.5</v>
      </c>
      <c r="H375" s="38">
        <f t="shared" si="69"/>
        <v>0.70000000000000007</v>
      </c>
    </row>
    <row r="376" spans="1:9" x14ac:dyDescent="0.25">
      <c r="B376" s="23" t="s">
        <v>231</v>
      </c>
      <c r="C376" s="23" t="str">
        <f>IF(B376="","",VLOOKUP(B376,Ressources!A:E,5,0))</f>
        <v xml:space="preserve">Huile végétale pour démoulage </v>
      </c>
      <c r="D376" s="26" t="str">
        <f>IF(B376="","",VLOOKUP(B376,Ressources!A:F,6,0))</f>
        <v>l</v>
      </c>
      <c r="E376" s="26">
        <v>0.1</v>
      </c>
      <c r="F376" s="26">
        <f>IF(B376="","",VLOOKUP(B376,Ressources!A:H,8,0)*E376)</f>
        <v>0.11000000000000001</v>
      </c>
      <c r="G376" s="38">
        <f>IF(B376="","",VLOOKUP(B376,Ressources!A:G,7,0))</f>
        <v>5</v>
      </c>
      <c r="H376" s="38">
        <f t="shared" si="69"/>
        <v>0.5</v>
      </c>
    </row>
    <row r="377" spans="1:9" ht="16.5" thickBot="1" x14ac:dyDescent="0.3">
      <c r="C377" s="23" t="str">
        <f>IF(B377="","",VLOOKUP(B377,Ressources!A:E,5,0))</f>
        <v/>
      </c>
      <c r="F377" s="26" t="str">
        <f>IF(B377="","",VLOOKUP(B377,Ressources!A:H,8,0)*E377)</f>
        <v/>
      </c>
    </row>
    <row r="378" spans="1:9" s="43" customFormat="1" ht="16.5" thickBot="1" x14ac:dyDescent="0.3">
      <c r="A378" s="39" t="s">
        <v>512</v>
      </c>
      <c r="B378" s="39"/>
      <c r="C378" s="39" t="s">
        <v>515</v>
      </c>
      <c r="D378" s="41" t="s">
        <v>22</v>
      </c>
      <c r="E378" s="41"/>
      <c r="F378" s="41" t="str">
        <f>IF(B378="","",VLOOKUP(B378,Ressources!A:H,8,0)*E378)</f>
        <v/>
      </c>
      <c r="G378" s="42">
        <f>SUM(H379:H380)</f>
        <v>2.7</v>
      </c>
      <c r="H378" s="42" t="str">
        <f t="shared" ref="H378:H384" si="70">IF(B378="","",E378*G378)</f>
        <v/>
      </c>
      <c r="I378" s="42"/>
    </row>
    <row r="379" spans="1:9" x14ac:dyDescent="0.25">
      <c r="B379" s="23" t="s">
        <v>33</v>
      </c>
      <c r="C379" s="23" t="str">
        <f>IF(B379="","",VLOOKUP(B379,Ressources!A:E,5,0))</f>
        <v xml:space="preserve">Main d'œuvre ouvrier qualifié </v>
      </c>
      <c r="D379" s="26" t="str">
        <f>IF(B379="","",VLOOKUP(B379,Ressources!A:F,6,0))</f>
        <v>h</v>
      </c>
      <c r="E379" s="26">
        <v>0.05</v>
      </c>
      <c r="F379" s="26">
        <f>IF(B379="","",VLOOKUP(B379,Ressources!A:H,8,0)*E379)</f>
        <v>0.05</v>
      </c>
      <c r="G379" s="38">
        <f>IF(B379="","",VLOOKUP(B379,Ressources!A:G,7,0))</f>
        <v>32</v>
      </c>
      <c r="H379" s="38">
        <f t="shared" si="70"/>
        <v>1.6</v>
      </c>
    </row>
    <row r="380" spans="1:9" x14ac:dyDescent="0.25">
      <c r="B380" s="23" t="s">
        <v>133</v>
      </c>
      <c r="C380" s="23" t="str">
        <f>IF(B380="","",VLOOKUP(B380,Ressources!A:E,5,0))</f>
        <v>Acier HA coupé, façonné</v>
      </c>
      <c r="D380" s="26" t="str">
        <f>IF(B380="","",VLOOKUP(B380,Ressources!A:F,6,0))</f>
        <v>kg</v>
      </c>
      <c r="E380" s="26">
        <v>1</v>
      </c>
      <c r="F380" s="26">
        <f>IF(B380="","",VLOOKUP(B380,Ressources!A:H,8,0)*E380)</f>
        <v>1</v>
      </c>
      <c r="G380" s="38">
        <f>IF(B380="","",VLOOKUP(B380,Ressources!A:G,7,0))</f>
        <v>1.1000000000000001</v>
      </c>
      <c r="H380" s="38">
        <f t="shared" si="70"/>
        <v>1.1000000000000001</v>
      </c>
    </row>
    <row r="381" spans="1:9" ht="16.5" thickBot="1" x14ac:dyDescent="0.3">
      <c r="C381" s="23" t="str">
        <f>IF(B381="","",VLOOKUP(B381,Ressources!A:E,5,0))</f>
        <v/>
      </c>
      <c r="D381" s="26" t="str">
        <f>IF(B381="","",VLOOKUP(B381,Ressources!A:F,6,0))</f>
        <v/>
      </c>
      <c r="F381" s="26" t="str">
        <f>IF(B381="","",VLOOKUP(B381,Ressources!A:H,8,0)*E381)</f>
        <v/>
      </c>
      <c r="G381" s="38" t="str">
        <f>IF(B381="","",VLOOKUP(B381,Ressources!A:G,7,0))</f>
        <v/>
      </c>
      <c r="H381" s="38" t="str">
        <f t="shared" si="70"/>
        <v/>
      </c>
    </row>
    <row r="382" spans="1:9" s="43" customFormat="1" ht="16.5" thickBot="1" x14ac:dyDescent="0.3">
      <c r="A382" s="39" t="s">
        <v>516</v>
      </c>
      <c r="B382" s="39"/>
      <c r="C382" s="39" t="s">
        <v>517</v>
      </c>
      <c r="D382" s="41" t="s">
        <v>24</v>
      </c>
      <c r="E382" s="41"/>
      <c r="F382" s="41" t="str">
        <f>IF(B382="","",VLOOKUP(B382,Ressources!A:H,8,0)*E382)</f>
        <v/>
      </c>
      <c r="G382" s="42">
        <f>SUM(H383:H384)</f>
        <v>138</v>
      </c>
      <c r="H382" s="42" t="str">
        <f t="shared" si="70"/>
        <v/>
      </c>
      <c r="I382" s="42"/>
    </row>
    <row r="383" spans="1:9" x14ac:dyDescent="0.25">
      <c r="B383" s="23" t="s">
        <v>33</v>
      </c>
      <c r="C383" s="23" t="str">
        <f>IF(B383="","",VLOOKUP(B383,Ressources!A:E,5,0))</f>
        <v xml:space="preserve">Main d'œuvre ouvrier qualifié </v>
      </c>
      <c r="D383" s="26" t="str">
        <f>IF(B383="","",VLOOKUP(B383,Ressources!A:F,6,0))</f>
        <v>h</v>
      </c>
      <c r="E383" s="26">
        <v>1.5</v>
      </c>
      <c r="F383" s="26">
        <f>IF(B383="","",VLOOKUP(B383,Ressources!A:H,8,0)*E383)</f>
        <v>1.5</v>
      </c>
      <c r="G383" s="38">
        <f>IF(B383="","",VLOOKUP(B383,Ressources!A:G,7,0))</f>
        <v>32</v>
      </c>
      <c r="H383" s="38">
        <f t="shared" si="70"/>
        <v>48</v>
      </c>
    </row>
    <row r="384" spans="1:9" x14ac:dyDescent="0.25">
      <c r="B384" s="23" t="s">
        <v>518</v>
      </c>
      <c r="C384" s="23" t="str">
        <f>IF(B384="","",VLOOKUP(B384,Ressources!A:E,5,0))</f>
        <v>Location mannequins</v>
      </c>
      <c r="D384" s="26" t="str">
        <f>IF(B384="","",VLOOKUP(B384,Ressources!A:F,6,0))</f>
        <v>u</v>
      </c>
      <c r="E384" s="26">
        <v>1</v>
      </c>
      <c r="F384" s="26">
        <f>IF(B384="","",VLOOKUP(B384,Ressources!A:H,8,0)*E384)</f>
        <v>1</v>
      </c>
      <c r="G384" s="38">
        <f>IF(B384="","",VLOOKUP(B384,Ressources!A:G,7,0))</f>
        <v>90</v>
      </c>
      <c r="H384" s="38">
        <f t="shared" si="70"/>
        <v>90</v>
      </c>
    </row>
    <row r="385" spans="1:9" ht="16.5" thickBot="1" x14ac:dyDescent="0.3"/>
    <row r="386" spans="1:9" s="43" customFormat="1" ht="16.5" thickBot="1" x14ac:dyDescent="0.3">
      <c r="A386" s="39" t="s">
        <v>520</v>
      </c>
      <c r="B386" s="39"/>
      <c r="C386" s="39" t="s">
        <v>521</v>
      </c>
      <c r="D386" s="41" t="s">
        <v>18</v>
      </c>
      <c r="E386" s="41"/>
      <c r="F386" s="41" t="str">
        <f>IF(B386="","",VLOOKUP(B386,Ressources!A:H,8,0)*E386)</f>
        <v/>
      </c>
      <c r="G386" s="42">
        <f>SUM(H387:H393)</f>
        <v>56.0565</v>
      </c>
      <c r="H386" s="42" t="str">
        <f t="shared" ref="H386:H388" si="71">IF(B386="","",E386*G386)</f>
        <v/>
      </c>
      <c r="I386" s="42"/>
    </row>
    <row r="387" spans="1:9" x14ac:dyDescent="0.25">
      <c r="B387" s="23" t="s">
        <v>33</v>
      </c>
      <c r="C387" s="23" t="str">
        <f>IF(B387="","",VLOOKUP(B387,Ressources!A:E,5,0))</f>
        <v xml:space="preserve">Main d'œuvre ouvrier qualifié </v>
      </c>
      <c r="D387" s="26" t="str">
        <f>IF(B387="","",VLOOKUP(B387,Ressources!A:F,6,0))</f>
        <v>h</v>
      </c>
      <c r="E387" s="26">
        <v>0.7</v>
      </c>
      <c r="F387" s="26">
        <f>IF(B387="","",VLOOKUP(B387,Ressources!A:H,8,0)*E387)</f>
        <v>0.7</v>
      </c>
      <c r="G387" s="38">
        <f>IF(B387="","",VLOOKUP(B387,Ressources!A:G,7,0))</f>
        <v>32</v>
      </c>
      <c r="H387" s="38">
        <f t="shared" si="71"/>
        <v>22.4</v>
      </c>
    </row>
    <row r="388" spans="1:9" x14ac:dyDescent="0.25">
      <c r="B388" s="23" t="s">
        <v>522</v>
      </c>
      <c r="C388" s="23" t="str">
        <f>IF(B388="","",VLOOKUP(B388,Ressources!A:E,5,0))</f>
        <v>Appuis en béton gris profondeur 35cm</v>
      </c>
      <c r="D388" s="26" t="str">
        <f>IF(B388="","",VLOOKUP(B388,Ressources!A:F,6,0))</f>
        <v>ml</v>
      </c>
      <c r="E388" s="26">
        <v>1</v>
      </c>
      <c r="F388" s="26">
        <f>IF(B388="","",VLOOKUP(B388,Ressources!A:H,8,0)*E388)</f>
        <v>1</v>
      </c>
      <c r="G388" s="38">
        <f>IF(B388="","",VLOOKUP(B388,Ressources!A:G,7,0))</f>
        <v>32</v>
      </c>
      <c r="H388" s="38">
        <f t="shared" si="71"/>
        <v>32</v>
      </c>
    </row>
    <row r="390" spans="1:9" x14ac:dyDescent="0.25">
      <c r="B390" s="23" t="s">
        <v>35</v>
      </c>
      <c r="C390" s="23" t="str">
        <f>IF(B390="","",VLOOKUP(B390,Ressources!A:E,5,0))</f>
        <v>Main d'œuvre Manœuvre</v>
      </c>
      <c r="D390" s="26" t="str">
        <f>IF(B390="","",VLOOKUP(B390,Ressources!A:F,6,0))</f>
        <v>h</v>
      </c>
      <c r="E390" s="26">
        <f>1.8*0.01</f>
        <v>1.8000000000000002E-2</v>
      </c>
      <c r="F390" s="26">
        <f>IF(B390="","",VLOOKUP(B390,Ressources!A:H,8,0)*E390)</f>
        <v>1.8000000000000002E-2</v>
      </c>
      <c r="G390" s="38">
        <f>IF(B390="","",VLOOKUP(B390,Ressources!A:G,7,0))</f>
        <v>28</v>
      </c>
      <c r="H390" s="38">
        <f t="shared" ref="H390:H393" si="72">IF(B390="","",E390*G390)</f>
        <v>0.504</v>
      </c>
    </row>
    <row r="391" spans="1:9" x14ac:dyDescent="0.25">
      <c r="B391" s="23" t="s">
        <v>112</v>
      </c>
      <c r="C391" s="23" t="str">
        <f>IF(B391="","",VLOOKUP(B391,Ressources!A:E,5,0))</f>
        <v>Sable 0/4 - 0/5 - Vrac</v>
      </c>
      <c r="D391" s="26" t="str">
        <f>IF(B391="","",VLOOKUP(B391,Ressources!A:F,6,0))</f>
        <v>m3</v>
      </c>
      <c r="E391" s="26">
        <f>0.7*0.01</f>
        <v>6.9999999999999993E-3</v>
      </c>
      <c r="F391" s="26">
        <f>IF(B391="","",VLOOKUP(B391,Ressources!A:H,8,0)*E391)</f>
        <v>7.7000000000000002E-3</v>
      </c>
      <c r="G391" s="38">
        <f>IF(B391="","",VLOOKUP(B391,Ressources!A:G,7,0))</f>
        <v>61</v>
      </c>
      <c r="H391" s="38">
        <f t="shared" si="72"/>
        <v>0.42699999999999994</v>
      </c>
    </row>
    <row r="392" spans="1:9" x14ac:dyDescent="0.25">
      <c r="B392" s="23" t="s">
        <v>84</v>
      </c>
      <c r="C392" s="23" t="str">
        <f>IF(B392="","",VLOOKUP(B392,Ressources!A:E,5,0))</f>
        <v>Mortier standard M20</v>
      </c>
      <c r="D392" s="26" t="str">
        <f>IF(B392="","",VLOOKUP(B392,Ressources!A:F,6,0))</f>
        <v>kg</v>
      </c>
      <c r="E392" s="26">
        <f>250*0.01</f>
        <v>2.5</v>
      </c>
      <c r="F392" s="26">
        <f>IF(B392="","",VLOOKUP(B392,Ressources!A:H,8,0)*E392)</f>
        <v>2.75</v>
      </c>
      <c r="G392" s="38">
        <f>IF(B392="","",VLOOKUP(B392,Ressources!A:G,7,0))</f>
        <v>0.28000000000000003</v>
      </c>
      <c r="H392" s="38">
        <f t="shared" si="72"/>
        <v>0.70000000000000007</v>
      </c>
    </row>
    <row r="393" spans="1:9" x14ac:dyDescent="0.25">
      <c r="B393" s="23" t="s">
        <v>359</v>
      </c>
      <c r="C393" s="23" t="str">
        <f>IF(B393="","",VLOOKUP(B393,Ressources!A:E,5,0))</f>
        <v xml:space="preserve">Carburant pour machine </v>
      </c>
      <c r="D393" s="26" t="str">
        <f>IF(B393="","",VLOOKUP(B393,Ressources!A:F,6,0))</f>
        <v>l</v>
      </c>
      <c r="E393" s="26">
        <f>1.5*0.01</f>
        <v>1.4999999999999999E-2</v>
      </c>
      <c r="F393" s="26">
        <f>IF(B393="","",VLOOKUP(B393,Ressources!A:H,8,0)*E393)</f>
        <v>1.4999999999999999E-2</v>
      </c>
      <c r="G393" s="38">
        <f>IF(B393="","",VLOOKUP(B393,Ressources!A:G,7,0))</f>
        <v>1.7</v>
      </c>
      <c r="H393" s="38">
        <f t="shared" si="72"/>
        <v>2.5499999999999998E-2</v>
      </c>
    </row>
    <row r="394" spans="1:9" ht="16.5" thickBot="1" x14ac:dyDescent="0.3"/>
    <row r="395" spans="1:9" s="43" customFormat="1" ht="16.5" thickBot="1" x14ac:dyDescent="0.3">
      <c r="A395" s="39" t="s">
        <v>523</v>
      </c>
      <c r="B395" s="39"/>
      <c r="C395" s="39" t="s">
        <v>524</v>
      </c>
      <c r="D395" s="41" t="s">
        <v>18</v>
      </c>
      <c r="E395" s="41"/>
      <c r="F395" s="41" t="str">
        <f>IF(B395="","",VLOOKUP(B395,Ressources!A:H,8,0)*E395)</f>
        <v/>
      </c>
      <c r="G395" s="42">
        <f>SUM(H396:H402)</f>
        <v>66.056500000000014</v>
      </c>
      <c r="H395" s="42" t="str">
        <f t="shared" ref="H395:H397" si="73">IF(B395="","",E395*G395)</f>
        <v/>
      </c>
      <c r="I395" s="42"/>
    </row>
    <row r="396" spans="1:9" x14ac:dyDescent="0.25">
      <c r="B396" s="23" t="s">
        <v>33</v>
      </c>
      <c r="C396" s="23" t="str">
        <f>IF(B396="","",VLOOKUP(B396,Ressources!A:E,5,0))</f>
        <v xml:space="preserve">Main d'œuvre ouvrier qualifié </v>
      </c>
      <c r="D396" s="26" t="str">
        <f>IF(B396="","",VLOOKUP(B396,Ressources!A:F,6,0))</f>
        <v>h</v>
      </c>
      <c r="E396" s="26">
        <v>0.7</v>
      </c>
      <c r="F396" s="26">
        <f>IF(B396="","",VLOOKUP(B396,Ressources!A:H,8,0)*E396)</f>
        <v>0.7</v>
      </c>
      <c r="G396" s="38">
        <f>IF(B396="","",VLOOKUP(B396,Ressources!A:G,7,0))</f>
        <v>32</v>
      </c>
      <c r="H396" s="38">
        <f t="shared" si="73"/>
        <v>22.4</v>
      </c>
    </row>
    <row r="397" spans="1:9" x14ac:dyDescent="0.25">
      <c r="B397" s="23" t="s">
        <v>216</v>
      </c>
      <c r="C397" s="23" t="str">
        <f>IF(B397="","",VLOOKUP(B397,Ressources!A:E,5,0))</f>
        <v>Appuis en béton ton pierre profondeur 35cm</v>
      </c>
      <c r="D397" s="26" t="str">
        <f>IF(B397="","",VLOOKUP(B397,Ressources!A:F,6,0))</f>
        <v>ml</v>
      </c>
      <c r="E397" s="26">
        <v>1</v>
      </c>
      <c r="F397" s="26">
        <f>IF(B397="","",VLOOKUP(B397,Ressources!A:H,8,0)*E397)</f>
        <v>1</v>
      </c>
      <c r="G397" s="38">
        <f>IF(B397="","",VLOOKUP(B397,Ressources!A:G,7,0))</f>
        <v>42</v>
      </c>
      <c r="H397" s="38">
        <f t="shared" si="73"/>
        <v>42</v>
      </c>
    </row>
    <row r="399" spans="1:9" x14ac:dyDescent="0.25">
      <c r="B399" s="23" t="s">
        <v>35</v>
      </c>
      <c r="C399" s="23" t="str">
        <f>IF(B399="","",VLOOKUP(B399,Ressources!A:E,5,0))</f>
        <v>Main d'œuvre Manœuvre</v>
      </c>
      <c r="D399" s="26" t="str">
        <f>IF(B399="","",VLOOKUP(B399,Ressources!A:F,6,0))</f>
        <v>h</v>
      </c>
      <c r="E399" s="26">
        <f>1.8*0.01</f>
        <v>1.8000000000000002E-2</v>
      </c>
      <c r="F399" s="26">
        <f>IF(B399="","",VLOOKUP(B399,Ressources!A:H,8,0)*E399)</f>
        <v>1.8000000000000002E-2</v>
      </c>
      <c r="G399" s="38">
        <f>IF(B399="","",VLOOKUP(B399,Ressources!A:G,7,0))</f>
        <v>28</v>
      </c>
      <c r="H399" s="38">
        <f t="shared" ref="H399:H402" si="74">IF(B399="","",E399*G399)</f>
        <v>0.504</v>
      </c>
    </row>
    <row r="400" spans="1:9" x14ac:dyDescent="0.25">
      <c r="B400" s="23" t="s">
        <v>112</v>
      </c>
      <c r="C400" s="23" t="str">
        <f>IF(B400="","",VLOOKUP(B400,Ressources!A:E,5,0))</f>
        <v>Sable 0/4 - 0/5 - Vrac</v>
      </c>
      <c r="D400" s="26" t="str">
        <f>IF(B400="","",VLOOKUP(B400,Ressources!A:F,6,0))</f>
        <v>m3</v>
      </c>
      <c r="E400" s="26">
        <f>0.7*0.01</f>
        <v>6.9999999999999993E-3</v>
      </c>
      <c r="F400" s="26">
        <f>IF(B400="","",VLOOKUP(B400,Ressources!A:H,8,0)*E400)</f>
        <v>7.7000000000000002E-3</v>
      </c>
      <c r="G400" s="38">
        <f>IF(B400="","",VLOOKUP(B400,Ressources!A:G,7,0))</f>
        <v>61</v>
      </c>
      <c r="H400" s="38">
        <f t="shared" si="74"/>
        <v>0.42699999999999994</v>
      </c>
    </row>
    <row r="401" spans="1:9" x14ac:dyDescent="0.25">
      <c r="B401" s="23" t="s">
        <v>84</v>
      </c>
      <c r="C401" s="23" t="str">
        <f>IF(B401="","",VLOOKUP(B401,Ressources!A:E,5,0))</f>
        <v>Mortier standard M20</v>
      </c>
      <c r="D401" s="26" t="str">
        <f>IF(B401="","",VLOOKUP(B401,Ressources!A:F,6,0))</f>
        <v>kg</v>
      </c>
      <c r="E401" s="26">
        <f>250*0.01</f>
        <v>2.5</v>
      </c>
      <c r="F401" s="26">
        <f>IF(B401="","",VLOOKUP(B401,Ressources!A:H,8,0)*E401)</f>
        <v>2.75</v>
      </c>
      <c r="G401" s="38">
        <f>IF(B401="","",VLOOKUP(B401,Ressources!A:G,7,0))</f>
        <v>0.28000000000000003</v>
      </c>
      <c r="H401" s="38">
        <f t="shared" si="74"/>
        <v>0.70000000000000007</v>
      </c>
    </row>
    <row r="402" spans="1:9" x14ac:dyDescent="0.25">
      <c r="B402" s="23" t="s">
        <v>359</v>
      </c>
      <c r="C402" s="23" t="str">
        <f>IF(B402="","",VLOOKUP(B402,Ressources!A:E,5,0))</f>
        <v xml:space="preserve">Carburant pour machine </v>
      </c>
      <c r="D402" s="26" t="str">
        <f>IF(B402="","",VLOOKUP(B402,Ressources!A:F,6,0))</f>
        <v>l</v>
      </c>
      <c r="E402" s="26">
        <f>1.5*0.01</f>
        <v>1.4999999999999999E-2</v>
      </c>
      <c r="F402" s="26">
        <f>IF(B402="","",VLOOKUP(B402,Ressources!A:H,8,0)*E402)</f>
        <v>1.4999999999999999E-2</v>
      </c>
      <c r="G402" s="38">
        <f>IF(B402="","",VLOOKUP(B402,Ressources!A:G,7,0))</f>
        <v>1.7</v>
      </c>
      <c r="H402" s="38">
        <f t="shared" si="74"/>
        <v>2.5499999999999998E-2</v>
      </c>
    </row>
    <row r="403" spans="1:9" ht="16.5" thickBot="1" x14ac:dyDescent="0.3"/>
    <row r="404" spans="1:9" s="43" customFormat="1" ht="16.5" thickBot="1" x14ac:dyDescent="0.3">
      <c r="A404" s="39" t="s">
        <v>525</v>
      </c>
      <c r="B404" s="39"/>
      <c r="C404" s="39" t="s">
        <v>524</v>
      </c>
      <c r="D404" s="41" t="s">
        <v>18</v>
      </c>
      <c r="E404" s="41"/>
      <c r="F404" s="41" t="str">
        <f>IF(B404="","",VLOOKUP(B404,Ressources!A:H,8,0)*E404)</f>
        <v/>
      </c>
      <c r="G404" s="42">
        <f>SUM(H405:H411)</f>
        <v>100.05650000000001</v>
      </c>
      <c r="H404" s="42" t="str">
        <f t="shared" ref="H404:H406" si="75">IF(B404="","",E404*G404)</f>
        <v/>
      </c>
      <c r="I404" s="42"/>
    </row>
    <row r="405" spans="1:9" x14ac:dyDescent="0.25">
      <c r="B405" s="23" t="s">
        <v>33</v>
      </c>
      <c r="C405" s="23" t="str">
        <f>IF(B405="","",VLOOKUP(B405,Ressources!A:E,5,0))</f>
        <v xml:space="preserve">Main d'œuvre ouvrier qualifié </v>
      </c>
      <c r="D405" s="26" t="str">
        <f>IF(B405="","",VLOOKUP(B405,Ressources!A:F,6,0))</f>
        <v>h</v>
      </c>
      <c r="E405" s="26">
        <v>0.7</v>
      </c>
      <c r="F405" s="26">
        <f>IF(B405="","",VLOOKUP(B405,Ressources!A:H,8,0)*E405)</f>
        <v>0.7</v>
      </c>
      <c r="G405" s="38">
        <f>IF(B405="","",VLOOKUP(B405,Ressources!A:G,7,0))</f>
        <v>32</v>
      </c>
      <c r="H405" s="38">
        <f t="shared" si="75"/>
        <v>22.4</v>
      </c>
    </row>
    <row r="406" spans="1:9" x14ac:dyDescent="0.25">
      <c r="B406" s="23" t="s">
        <v>218</v>
      </c>
      <c r="C406" s="23" t="str">
        <f>IF(B406="","",VLOOKUP(B406,Ressources!A:E,5,0))</f>
        <v>Appuis en bétonblanc profondeur 35cm</v>
      </c>
      <c r="D406" s="26" t="str">
        <f>IF(B406="","",VLOOKUP(B406,Ressources!A:F,6,0))</f>
        <v>ml</v>
      </c>
      <c r="E406" s="26">
        <v>1</v>
      </c>
      <c r="F406" s="26">
        <f>IF(B406="","",VLOOKUP(B406,Ressources!A:H,8,0)*E406)</f>
        <v>1</v>
      </c>
      <c r="G406" s="38">
        <f>IF(B406="","",VLOOKUP(B406,Ressources!A:G,7,0))</f>
        <v>76</v>
      </c>
      <c r="H406" s="38">
        <f t="shared" si="75"/>
        <v>76</v>
      </c>
    </row>
    <row r="408" spans="1:9" x14ac:dyDescent="0.25">
      <c r="B408" s="23" t="s">
        <v>35</v>
      </c>
      <c r="C408" s="23" t="str">
        <f>IF(B408="","",VLOOKUP(B408,Ressources!A:E,5,0))</f>
        <v>Main d'œuvre Manœuvre</v>
      </c>
      <c r="D408" s="26" t="str">
        <f>IF(B408="","",VLOOKUP(B408,Ressources!A:F,6,0))</f>
        <v>h</v>
      </c>
      <c r="E408" s="26">
        <f>1.8*0.01</f>
        <v>1.8000000000000002E-2</v>
      </c>
      <c r="F408" s="26">
        <f>IF(B408="","",VLOOKUP(B408,Ressources!A:H,8,0)*E408)</f>
        <v>1.8000000000000002E-2</v>
      </c>
      <c r="G408" s="38">
        <f>IF(B408="","",VLOOKUP(B408,Ressources!A:G,7,0))</f>
        <v>28</v>
      </c>
      <c r="H408" s="38">
        <f t="shared" ref="H408:H411" si="76">IF(B408="","",E408*G408)</f>
        <v>0.504</v>
      </c>
    </row>
    <row r="409" spans="1:9" x14ac:dyDescent="0.25">
      <c r="B409" s="23" t="s">
        <v>112</v>
      </c>
      <c r="C409" s="23" t="str">
        <f>IF(B409="","",VLOOKUP(B409,Ressources!A:E,5,0))</f>
        <v>Sable 0/4 - 0/5 - Vrac</v>
      </c>
      <c r="D409" s="26" t="str">
        <f>IF(B409="","",VLOOKUP(B409,Ressources!A:F,6,0))</f>
        <v>m3</v>
      </c>
      <c r="E409" s="26">
        <f>0.7*0.01</f>
        <v>6.9999999999999993E-3</v>
      </c>
      <c r="F409" s="26">
        <f>IF(B409="","",VLOOKUP(B409,Ressources!A:H,8,0)*E409)</f>
        <v>7.7000000000000002E-3</v>
      </c>
      <c r="G409" s="38">
        <f>IF(B409="","",VLOOKUP(B409,Ressources!A:G,7,0))</f>
        <v>61</v>
      </c>
      <c r="H409" s="38">
        <f t="shared" si="76"/>
        <v>0.42699999999999994</v>
      </c>
    </row>
    <row r="410" spans="1:9" x14ac:dyDescent="0.25">
      <c r="B410" s="23" t="s">
        <v>84</v>
      </c>
      <c r="C410" s="23" t="str">
        <f>IF(B410="","",VLOOKUP(B410,Ressources!A:E,5,0))</f>
        <v>Mortier standard M20</v>
      </c>
      <c r="D410" s="26" t="str">
        <f>IF(B410="","",VLOOKUP(B410,Ressources!A:F,6,0))</f>
        <v>kg</v>
      </c>
      <c r="E410" s="26">
        <f>250*0.01</f>
        <v>2.5</v>
      </c>
      <c r="F410" s="26">
        <f>IF(B410="","",VLOOKUP(B410,Ressources!A:H,8,0)*E410)</f>
        <v>2.75</v>
      </c>
      <c r="G410" s="38">
        <f>IF(B410="","",VLOOKUP(B410,Ressources!A:G,7,0))</f>
        <v>0.28000000000000003</v>
      </c>
      <c r="H410" s="38">
        <f t="shared" si="76"/>
        <v>0.70000000000000007</v>
      </c>
    </row>
    <row r="411" spans="1:9" x14ac:dyDescent="0.25">
      <c r="B411" s="23" t="s">
        <v>359</v>
      </c>
      <c r="C411" s="23" t="str">
        <f>IF(B411="","",VLOOKUP(B411,Ressources!A:E,5,0))</f>
        <v xml:space="preserve">Carburant pour machine </v>
      </c>
      <c r="D411" s="26" t="str">
        <f>IF(B411="","",VLOOKUP(B411,Ressources!A:F,6,0))</f>
        <v>l</v>
      </c>
      <c r="E411" s="26">
        <f>1.5*0.01</f>
        <v>1.4999999999999999E-2</v>
      </c>
      <c r="F411" s="26">
        <f>IF(B411="","",VLOOKUP(B411,Ressources!A:H,8,0)*E411)</f>
        <v>1.4999999999999999E-2</v>
      </c>
      <c r="G411" s="38">
        <f>IF(B411="","",VLOOKUP(B411,Ressources!A:G,7,0))</f>
        <v>1.7</v>
      </c>
      <c r="H411" s="38">
        <f t="shared" si="76"/>
        <v>2.5499999999999998E-2</v>
      </c>
    </row>
  </sheetData>
  <autoFilter ref="A1:I411"/>
  <dataConsolidate/>
  <pageMargins left="0.78740157499999996" right="0.78740157499999996" top="0.984251969" bottom="0.984251969" header="0.3" footer="0.3"/>
  <pageSetup paperSize="9" orientation="portrait" horizontalDpi="1200" verticalDpi="12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Ressources!$A:$A</xm:f>
          </x14:formula1>
          <xm:sqref>B3:B15 B26:B1087 B18:B19 B22:B23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587"/>
  <sheetViews>
    <sheetView tabSelected="1" zoomScaleNormal="100" workbookViewId="0">
      <selection activeCell="D17" sqref="D17"/>
    </sheetView>
  </sheetViews>
  <sheetFormatPr baseColWidth="10" defaultColWidth="9" defaultRowHeight="15.75" x14ac:dyDescent="0.25"/>
  <cols>
    <col min="1" max="1" width="26" customWidth="1"/>
    <col min="2" max="2" width="9.625" style="7" customWidth="1"/>
    <col min="3" max="3" width="94.625" customWidth="1"/>
    <col min="4" max="4" width="8.375" style="1" customWidth="1"/>
    <col min="5" max="5" width="13" style="1" customWidth="1"/>
    <col min="6" max="6" width="12.875" style="32" customWidth="1"/>
    <col min="7" max="7" width="19.375" style="19" customWidth="1"/>
    <col min="8" max="256" width="11" customWidth="1"/>
  </cols>
  <sheetData>
    <row r="1" spans="1:11" ht="16.5" thickBot="1" x14ac:dyDescent="0.3"/>
    <row r="2" spans="1:11" ht="16.5" thickBot="1" x14ac:dyDescent="0.3">
      <c r="J2" s="44" t="s">
        <v>310</v>
      </c>
      <c r="K2" s="45"/>
    </row>
    <row r="3" spans="1:11" x14ac:dyDescent="0.25">
      <c r="J3" s="14" t="s">
        <v>5</v>
      </c>
      <c r="K3" s="35">
        <f>'Coefs de Vente'!C11</f>
        <v>1.5648113250000002</v>
      </c>
    </row>
    <row r="4" spans="1:11" x14ac:dyDescent="0.25">
      <c r="J4" s="13" t="s">
        <v>9</v>
      </c>
      <c r="K4" s="36">
        <f>'Coefs de Vente'!F11</f>
        <v>1.4902965000000006</v>
      </c>
    </row>
    <row r="5" spans="1:11" x14ac:dyDescent="0.25">
      <c r="J5" s="13" t="s">
        <v>12</v>
      </c>
      <c r="K5" s="36">
        <f>'Coefs de Vente'!I11</f>
        <v>1.1499999999999999</v>
      </c>
    </row>
    <row r="6" spans="1:11" x14ac:dyDescent="0.25">
      <c r="J6" s="13" t="s">
        <v>15</v>
      </c>
      <c r="K6" s="36">
        <f>'Coefs de Vente'!L11</f>
        <v>1.5648113250000002</v>
      </c>
    </row>
    <row r="7" spans="1:11" x14ac:dyDescent="0.25">
      <c r="J7" s="13" t="s">
        <v>17</v>
      </c>
      <c r="K7" s="36">
        <f>'Coefs de Vente'!O11</f>
        <v>1</v>
      </c>
    </row>
    <row r="10" spans="1:11" ht="16.5" thickBot="1" x14ac:dyDescent="0.3"/>
    <row r="11" spans="1:11" s="8" customFormat="1" ht="37.5" customHeight="1" thickBot="1" x14ac:dyDescent="0.3">
      <c r="A11" s="12" t="s">
        <v>293</v>
      </c>
      <c r="B11" s="68" t="s">
        <v>0</v>
      </c>
      <c r="C11" s="81" t="s">
        <v>29</v>
      </c>
      <c r="D11" s="81" t="s">
        <v>344</v>
      </c>
      <c r="E11" s="81" t="s">
        <v>528</v>
      </c>
      <c r="F11" s="82" t="s">
        <v>542</v>
      </c>
      <c r="G11" s="83" t="s">
        <v>541</v>
      </c>
      <c r="J11" s="8" t="s">
        <v>311</v>
      </c>
      <c r="K11" s="8" t="s">
        <v>312</v>
      </c>
    </row>
    <row r="12" spans="1:11" s="8" customFormat="1" x14ac:dyDescent="0.25">
      <c r="A12" s="67"/>
      <c r="B12" s="67"/>
      <c r="C12" s="70"/>
      <c r="D12" s="70"/>
      <c r="E12" s="70"/>
      <c r="F12" s="75"/>
      <c r="G12" s="78"/>
    </row>
    <row r="13" spans="1:11" s="8" customFormat="1" x14ac:dyDescent="0.25">
      <c r="A13" s="67"/>
      <c r="B13" s="67"/>
      <c r="C13" s="70"/>
      <c r="D13" s="70"/>
      <c r="E13" s="70"/>
      <c r="F13" s="75"/>
      <c r="G13" s="78"/>
    </row>
    <row r="14" spans="1:11" s="8" customFormat="1" ht="18.75" x14ac:dyDescent="0.25">
      <c r="A14" s="67"/>
      <c r="B14" s="67"/>
      <c r="C14" s="71" t="s">
        <v>535</v>
      </c>
      <c r="D14" s="70"/>
      <c r="E14" s="70"/>
      <c r="F14" s="75"/>
      <c r="G14" s="78"/>
    </row>
    <row r="15" spans="1:11" s="8" customFormat="1" x14ac:dyDescent="0.25">
      <c r="A15" s="67"/>
      <c r="B15" s="67"/>
      <c r="C15" s="70"/>
      <c r="D15" s="70"/>
      <c r="E15" s="70"/>
      <c r="F15" s="75"/>
      <c r="G15" s="78"/>
    </row>
    <row r="16" spans="1:11" s="8" customFormat="1" ht="16.5" thickBot="1" x14ac:dyDescent="0.3">
      <c r="A16" s="67"/>
      <c r="B16" s="67"/>
      <c r="C16" s="72" t="s">
        <v>533</v>
      </c>
      <c r="D16" s="70"/>
      <c r="E16" s="70"/>
      <c r="F16" s="75"/>
      <c r="G16" s="78"/>
    </row>
    <row r="17" spans="1:11" ht="16.5" thickBot="1" x14ac:dyDescent="0.3">
      <c r="A17" t="s">
        <v>363</v>
      </c>
      <c r="B17" s="7" t="s">
        <v>5</v>
      </c>
      <c r="C17" s="69" t="str">
        <f>IF(A17="","",VLOOKUP(A17,'Sous détail de prix '!A:C,3,0))&amp;""</f>
        <v>Béton pour fondations XC2</v>
      </c>
      <c r="D17" s="26" t="str">
        <f>IF(A17="","",VLOOKUP(A17,'Sous détail de prix '!A:D,4,0))</f>
        <v>m3</v>
      </c>
      <c r="E17" s="26">
        <v>25</v>
      </c>
      <c r="F17" s="76">
        <f t="shared" ref="F17:F45" si="0">IF(J17="","",J17*K17)</f>
        <v>225.80227419750005</v>
      </c>
      <c r="G17" s="38">
        <f t="shared" ref="G17:G45" si="1">IF(F17="","",F17*E17)</f>
        <v>5645.0568549375012</v>
      </c>
      <c r="J17" s="19">
        <f>IF(A17="","",VLOOKUP(A17,'Sous détail de prix '!A:G,7,0))</f>
        <v>144.30000000000001</v>
      </c>
      <c r="K17" s="37">
        <f>IF(B17="PP",$K$3,IF(B17="ST",$K$4,IF(B17="CT",$K$5,IF(B17="SV",$K$6,IF(B17="D",$K$7,0)))))</f>
        <v>1.5648113250000002</v>
      </c>
    </row>
    <row r="18" spans="1:11" x14ac:dyDescent="0.25">
      <c r="A18" t="s">
        <v>368</v>
      </c>
      <c r="B18" s="7" t="s">
        <v>5</v>
      </c>
      <c r="C18" s="23" t="str">
        <f>IF(A18="","",VLOOKUP(A18,'Sous détail de prix '!A:C,3,0))&amp;""</f>
        <v>Coffrage pour fondations</v>
      </c>
      <c r="D18" s="26" t="str">
        <f>IF(A18="","",VLOOKUP(A18,'Sous détail de prix '!A:D,4,0))</f>
        <v>m2</v>
      </c>
      <c r="E18" s="26">
        <v>10</v>
      </c>
      <c r="F18" s="76">
        <f t="shared" si="0"/>
        <v>64.157264325000014</v>
      </c>
      <c r="G18" s="38">
        <f t="shared" si="1"/>
        <v>641.57264325000017</v>
      </c>
      <c r="J18" s="19">
        <f>IF(A18="","",VLOOKUP(A18,'Sous détail de prix '!A:G,7,0))</f>
        <v>41</v>
      </c>
      <c r="K18" s="37">
        <f t="shared" ref="K18:K37" si="2">IF(B18="PP",$K$3,IF(B18="ST",$K$4,IF(B18="CT",$K$5,IF(B18="SV",$K$6,IF(B18="D",$K$7,0)))))</f>
        <v>1.5648113250000002</v>
      </c>
    </row>
    <row r="19" spans="1:11" x14ac:dyDescent="0.25">
      <c r="A19" t="s">
        <v>380</v>
      </c>
      <c r="B19" s="7" t="s">
        <v>5</v>
      </c>
      <c r="C19" s="23" t="str">
        <f>IF(A19="","",VLOOKUP(A19,'Sous détail de prix '!A:C,3,0))&amp;""</f>
        <v>Acier HA pour fondations</v>
      </c>
      <c r="D19" s="26" t="str">
        <f>IF(A19="","",VLOOKUP(A19,'Sous détail de prix '!A:D,4,0))</f>
        <v>kg</v>
      </c>
      <c r="E19" s="26">
        <f>25*50</f>
        <v>1250</v>
      </c>
      <c r="F19" s="76">
        <f t="shared" si="0"/>
        <v>4.2249905775000007</v>
      </c>
      <c r="G19" s="38">
        <f t="shared" si="1"/>
        <v>5281.2382218750008</v>
      </c>
      <c r="J19" s="19">
        <f>IF(A19="","",VLOOKUP(A19,'Sous détail de prix '!A:G,7,0))</f>
        <v>2.7</v>
      </c>
      <c r="K19" s="37">
        <f t="shared" si="2"/>
        <v>1.5648113250000002</v>
      </c>
    </row>
    <row r="20" spans="1:11" x14ac:dyDescent="0.25">
      <c r="C20" s="73" t="s">
        <v>534</v>
      </c>
      <c r="D20" s="26"/>
      <c r="E20" s="26"/>
      <c r="F20" s="76"/>
      <c r="G20" s="79">
        <f>SUM(G17:G19)</f>
        <v>11567.867720062502</v>
      </c>
      <c r="J20" s="19" t="str">
        <f>IF(A20="","",VLOOKUP(A20,'Sous détail de prix '!A:G,7,0))</f>
        <v/>
      </c>
      <c r="K20" s="37">
        <f t="shared" si="2"/>
        <v>0</v>
      </c>
    </row>
    <row r="21" spans="1:11" x14ac:dyDescent="0.25">
      <c r="C21" s="23" t="str">
        <f>IF(A21="","",VLOOKUP(A21,'Sous détail de prix '!A:C,3,0))&amp;""</f>
        <v/>
      </c>
      <c r="D21" s="26" t="str">
        <f>IF(A21="","",VLOOKUP(A21,'Sous détail de prix '!A:D,4,0))</f>
        <v/>
      </c>
      <c r="E21" s="26"/>
      <c r="F21" s="76" t="str">
        <f t="shared" si="0"/>
        <v/>
      </c>
      <c r="G21" s="38" t="str">
        <f t="shared" si="1"/>
        <v/>
      </c>
      <c r="J21" s="19" t="str">
        <f>IF(A21="","",VLOOKUP(A21,'Sous détail de prix '!A:G,7,0))</f>
        <v/>
      </c>
      <c r="K21" s="37">
        <f t="shared" si="2"/>
        <v>0</v>
      </c>
    </row>
    <row r="22" spans="1:11" x14ac:dyDescent="0.25">
      <c r="C22" s="40" t="s">
        <v>536</v>
      </c>
      <c r="D22" s="26"/>
      <c r="E22" s="26"/>
      <c r="F22" s="76"/>
      <c r="G22" s="38"/>
      <c r="J22" s="19"/>
      <c r="K22" s="37"/>
    </row>
    <row r="23" spans="1:11" x14ac:dyDescent="0.25">
      <c r="A23" t="s">
        <v>478</v>
      </c>
      <c r="B23" s="7" t="s">
        <v>5</v>
      </c>
      <c r="C23" s="23" t="str">
        <f>IF(A23="","",VLOOKUP(A23,'Sous détail de prix '!A:C,3,0))&amp;""</f>
        <v>Bloc creux de 20cm</v>
      </c>
      <c r="D23" s="26" t="str">
        <f>IF(A23="","",VLOOKUP(A23,'Sous détail de prix '!A:D,4,0))</f>
        <v>m2</v>
      </c>
      <c r="E23" s="26">
        <v>150</v>
      </c>
      <c r="F23" s="76">
        <f t="shared" si="0"/>
        <v>81.478943287087503</v>
      </c>
      <c r="G23" s="38">
        <f t="shared" si="1"/>
        <v>12221.841493063126</v>
      </c>
      <c r="J23" s="19">
        <f>IF(A23="","",VLOOKUP(A23,'Sous détail de prix '!A:G,7,0))</f>
        <v>52.069499999999998</v>
      </c>
      <c r="K23" s="37">
        <f t="shared" si="2"/>
        <v>1.5648113250000002</v>
      </c>
    </row>
    <row r="24" spans="1:11" x14ac:dyDescent="0.25">
      <c r="A24" t="s">
        <v>480</v>
      </c>
      <c r="B24" s="7" t="s">
        <v>5</v>
      </c>
      <c r="C24" s="23" t="str">
        <f>IF(A24="","",VLOOKUP(A24,'Sous détail de prix '!A:C,3,0))&amp;""</f>
        <v>Bloc creux de 20cm chainage vertical</v>
      </c>
      <c r="D24" s="26" t="str">
        <f>IF(A24="","",VLOOKUP(A24,'Sous détail de prix '!A:D,4,0))</f>
        <v>ml</v>
      </c>
      <c r="E24" s="26">
        <v>54</v>
      </c>
      <c r="F24" s="76">
        <f t="shared" si="0"/>
        <v>102.1344527770875</v>
      </c>
      <c r="G24" s="38">
        <f t="shared" si="1"/>
        <v>5515.260449962725</v>
      </c>
      <c r="J24" s="19">
        <f>IF(A24="","",VLOOKUP(A24,'Sous détail de prix '!A:G,7,0))</f>
        <v>65.269499999999994</v>
      </c>
      <c r="K24" s="37">
        <f t="shared" si="2"/>
        <v>1.5648113250000002</v>
      </c>
    </row>
    <row r="25" spans="1:11" x14ac:dyDescent="0.25">
      <c r="A25" t="s">
        <v>483</v>
      </c>
      <c r="B25" s="7" t="s">
        <v>5</v>
      </c>
      <c r="C25" s="23" t="str">
        <f>IF(A25="","",VLOOKUP(A25,'Sous détail de prix '!A:C,3,0))&amp;""</f>
        <v>Bloc creux de 20cm linteau U</v>
      </c>
      <c r="D25" s="26" t="str">
        <f>IF(A25="","",VLOOKUP(A25,'Sous détail de prix '!A:D,4,0))</f>
        <v>ml</v>
      </c>
      <c r="E25" s="26">
        <v>15</v>
      </c>
      <c r="F25" s="76">
        <f t="shared" ref="F25" si="3">IF(J25="","",J25*K25)</f>
        <v>58.944877801425001</v>
      </c>
      <c r="G25" s="38">
        <f t="shared" ref="G25" si="4">IF(F25="","",F25*E25)</f>
        <v>884.17316702137498</v>
      </c>
      <c r="J25" s="19">
        <f>IF(A25="","",VLOOKUP(A25,'Sous détail de prix '!A:G,7,0))</f>
        <v>37.668999999999997</v>
      </c>
      <c r="K25" s="37">
        <f t="shared" ref="K25" si="5">IF(B25="PP",$K$3,IF(B25="ST",$K$4,IF(B25="CT",$K$5,IF(B25="SV",$K$6,IF(B25="D",$K$7,0)))))</f>
        <v>1.5648113250000002</v>
      </c>
    </row>
    <row r="26" spans="1:11" x14ac:dyDescent="0.25">
      <c r="A26" t="s">
        <v>505</v>
      </c>
      <c r="B26" s="7" t="s">
        <v>5</v>
      </c>
      <c r="C26" s="23" t="str">
        <f>IF(A26="","",VLOOKUP(A26,'Sous détail de prix '!A:C,3,0))&amp;""</f>
        <v>Arase de mur ep20cm</v>
      </c>
      <c r="D26" s="26" t="str">
        <f>IF(A26="","",VLOOKUP(A26,'Sous détail de prix '!A:D,4,0))</f>
        <v>ml</v>
      </c>
      <c r="E26" s="26">
        <v>35</v>
      </c>
      <c r="F26" s="76">
        <f t="shared" si="0"/>
        <v>18.028973680987498</v>
      </c>
      <c r="G26" s="38">
        <f t="shared" si="1"/>
        <v>631.01407883456238</v>
      </c>
      <c r="J26" s="19">
        <f>IF(A26="","",VLOOKUP(A26,'Sous détail de prix '!A:G,7,0))</f>
        <v>11.521499999999998</v>
      </c>
      <c r="K26" s="37">
        <f t="shared" si="2"/>
        <v>1.5648113250000002</v>
      </c>
    </row>
    <row r="27" spans="1:11" ht="16.5" thickBot="1" x14ac:dyDescent="0.3">
      <c r="C27" s="74" t="s">
        <v>537</v>
      </c>
      <c r="D27" s="20" t="str">
        <f>IF(A27="","",VLOOKUP(A27,'Sous détail de prix '!A:D,4,0))</f>
        <v/>
      </c>
      <c r="E27" s="20"/>
      <c r="F27" s="77" t="str">
        <f t="shared" si="0"/>
        <v/>
      </c>
      <c r="G27" s="80">
        <f>SUM(G23:G26)</f>
        <v>19252.28918888179</v>
      </c>
      <c r="J27" s="19" t="str">
        <f>IF(A27="","",VLOOKUP(A27,'Sous détail de prix '!A:G,7,0))</f>
        <v/>
      </c>
      <c r="K27" s="37">
        <f t="shared" si="2"/>
        <v>0</v>
      </c>
    </row>
    <row r="28" spans="1:11" x14ac:dyDescent="0.25">
      <c r="C28" t="str">
        <f>IF(A28="","",VLOOKUP(A28,'Sous détail de prix '!A:C,3,0))&amp;""</f>
        <v/>
      </c>
      <c r="D28" s="1" t="str">
        <f>IF(A28="","",VLOOKUP(A28,'Sous détail de prix '!A:D,4,0))</f>
        <v/>
      </c>
      <c r="F28" s="32" t="str">
        <f t="shared" si="0"/>
        <v/>
      </c>
      <c r="G28" s="19" t="str">
        <f t="shared" si="1"/>
        <v/>
      </c>
      <c r="J28" s="19" t="str">
        <f>IF(A28="","",VLOOKUP(A28,'Sous détail de prix '!A:G,7,0))</f>
        <v/>
      </c>
      <c r="K28" s="37">
        <f t="shared" si="2"/>
        <v>0</v>
      </c>
    </row>
    <row r="29" spans="1:11" x14ac:dyDescent="0.25">
      <c r="C29" t="str">
        <f>IF(A29="","",VLOOKUP(A29,'Sous détail de prix '!A:C,3,0))&amp;""</f>
        <v/>
      </c>
      <c r="D29" s="1" t="str">
        <f>IF(A29="","",VLOOKUP(A29,'Sous détail de prix '!A:D,4,0))</f>
        <v/>
      </c>
      <c r="F29" s="32" t="str">
        <f t="shared" si="0"/>
        <v/>
      </c>
      <c r="G29" s="19" t="str">
        <f t="shared" si="1"/>
        <v/>
      </c>
      <c r="J29" s="19" t="str">
        <f>IF(A29="","",VLOOKUP(A29,'Sous détail de prix '!A:G,7,0))</f>
        <v/>
      </c>
      <c r="K29" s="37">
        <f t="shared" si="2"/>
        <v>0</v>
      </c>
    </row>
    <row r="30" spans="1:11" x14ac:dyDescent="0.25">
      <c r="C30" t="str">
        <f>IF(A30="","",VLOOKUP(A30,'Sous détail de prix '!A:C,3,0))&amp;""</f>
        <v/>
      </c>
      <c r="D30" s="1" t="str">
        <f>IF(A30="","",VLOOKUP(A30,'Sous détail de prix '!A:D,4,0))</f>
        <v/>
      </c>
      <c r="F30" s="32" t="str">
        <f t="shared" si="0"/>
        <v/>
      </c>
      <c r="G30" s="19" t="str">
        <f t="shared" si="1"/>
        <v/>
      </c>
      <c r="J30" s="19" t="str">
        <f>IF(A30="","",VLOOKUP(A30,'Sous détail de prix '!A:G,7,0))</f>
        <v/>
      </c>
      <c r="K30" s="37">
        <f t="shared" si="2"/>
        <v>0</v>
      </c>
    </row>
    <row r="31" spans="1:11" ht="16.5" thickBot="1" x14ac:dyDescent="0.3">
      <c r="C31" t="str">
        <f>IF(A31="","",VLOOKUP(A31,'Sous détail de prix '!A:C,3,0))&amp;""</f>
        <v/>
      </c>
      <c r="D31" s="1" t="str">
        <f>IF(A31="","",VLOOKUP(A31,'Sous détail de prix '!A:D,4,0))</f>
        <v/>
      </c>
      <c r="F31" s="32" t="str">
        <f t="shared" si="0"/>
        <v/>
      </c>
      <c r="G31" s="19" t="str">
        <f t="shared" si="1"/>
        <v/>
      </c>
      <c r="J31" s="19" t="str">
        <f>IF(A31="","",VLOOKUP(A31,'Sous détail de prix '!A:G,7,0))</f>
        <v/>
      </c>
      <c r="K31" s="37">
        <f t="shared" si="2"/>
        <v>0</v>
      </c>
    </row>
    <row r="32" spans="1:11" s="84" customFormat="1" ht="21.75" thickBot="1" x14ac:dyDescent="0.3">
      <c r="B32" s="85"/>
      <c r="D32" s="86" t="s">
        <v>538</v>
      </c>
      <c r="E32" s="86"/>
      <c r="F32" s="86"/>
      <c r="G32" s="87">
        <f>SUM(G17:G27)/2</f>
        <v>30820.156908944293</v>
      </c>
      <c r="J32" s="88"/>
      <c r="K32" s="89"/>
    </row>
    <row r="33" spans="2:11" s="84" customFormat="1" x14ac:dyDescent="0.25">
      <c r="B33" s="85"/>
      <c r="D33" s="84" t="str">
        <f>IF(A33="","",VLOOKUP(A33,'Sous détail de prix '!A:D,4,0))</f>
        <v/>
      </c>
      <c r="F33" s="90" t="str">
        <f t="shared" si="0"/>
        <v/>
      </c>
      <c r="G33" s="91" t="str">
        <f t="shared" si="1"/>
        <v/>
      </c>
      <c r="J33" s="88"/>
      <c r="K33" s="89"/>
    </row>
    <row r="34" spans="2:11" s="84" customFormat="1" ht="21" x14ac:dyDescent="0.25">
      <c r="B34" s="85"/>
      <c r="D34" s="86" t="s">
        <v>539</v>
      </c>
      <c r="E34" s="86"/>
      <c r="F34" s="92">
        <v>0.2</v>
      </c>
      <c r="G34" s="93">
        <f>+G32*F34</f>
        <v>6164.0313817888591</v>
      </c>
      <c r="J34" s="88"/>
      <c r="K34" s="89"/>
    </row>
    <row r="35" spans="2:11" s="84" customFormat="1" ht="16.5" thickBot="1" x14ac:dyDescent="0.3">
      <c r="B35" s="85"/>
      <c r="D35" s="84" t="str">
        <f>IF(A35="","",VLOOKUP(A35,'Sous détail de prix '!A:D,4,0))</f>
        <v/>
      </c>
      <c r="F35" s="90" t="str">
        <f t="shared" si="0"/>
        <v/>
      </c>
      <c r="G35" s="91" t="str">
        <f t="shared" si="1"/>
        <v/>
      </c>
      <c r="J35" s="88"/>
      <c r="K35" s="89"/>
    </row>
    <row r="36" spans="2:11" s="84" customFormat="1" ht="21.75" thickBot="1" x14ac:dyDescent="0.3">
      <c r="B36" s="85"/>
      <c r="D36" s="86" t="s">
        <v>540</v>
      </c>
      <c r="E36" s="86"/>
      <c r="F36" s="86"/>
      <c r="G36" s="94">
        <f>+G32+G34</f>
        <v>36984.188290733153</v>
      </c>
      <c r="J36" s="88"/>
      <c r="K36" s="89"/>
    </row>
    <row r="37" spans="2:11" x14ac:dyDescent="0.25">
      <c r="F37" s="32" t="str">
        <f t="shared" si="0"/>
        <v/>
      </c>
      <c r="G37" s="19" t="str">
        <f t="shared" si="1"/>
        <v/>
      </c>
      <c r="J37" s="19"/>
      <c r="K37" s="37"/>
    </row>
    <row r="38" spans="2:11" x14ac:dyDescent="0.25">
      <c r="F38" s="32" t="str">
        <f t="shared" si="0"/>
        <v/>
      </c>
      <c r="G38" s="19" t="str">
        <f t="shared" si="1"/>
        <v/>
      </c>
      <c r="J38" s="19" t="str">
        <f>IF(A38="","",VLOOKUP(A38,'Sous détail de prix '!A:G,7,0))</f>
        <v/>
      </c>
      <c r="K38" s="37"/>
    </row>
    <row r="39" spans="2:11" x14ac:dyDescent="0.25">
      <c r="F39" s="32" t="str">
        <f t="shared" si="0"/>
        <v/>
      </c>
      <c r="G39" s="19" t="str">
        <f t="shared" si="1"/>
        <v/>
      </c>
      <c r="J39" s="19" t="str">
        <f>IF(A39="","",VLOOKUP(A39,'Sous détail de prix '!A:G,6,0))</f>
        <v/>
      </c>
      <c r="K39" s="37"/>
    </row>
    <row r="40" spans="2:11" x14ac:dyDescent="0.25">
      <c r="F40" s="32" t="str">
        <f t="shared" si="0"/>
        <v/>
      </c>
      <c r="G40" s="19" t="str">
        <f t="shared" si="1"/>
        <v/>
      </c>
      <c r="J40" s="19" t="str">
        <f>IF(A40="","",VLOOKUP(A40,'Sous détail de prix '!A:G,6,0))</f>
        <v/>
      </c>
      <c r="K40" s="37"/>
    </row>
    <row r="41" spans="2:11" x14ac:dyDescent="0.25">
      <c r="F41" s="32" t="str">
        <f t="shared" si="0"/>
        <v/>
      </c>
      <c r="G41" s="19" t="str">
        <f t="shared" si="1"/>
        <v/>
      </c>
      <c r="J41" s="19" t="str">
        <f>IF(A41="","",VLOOKUP(A41,'Sous détail de prix '!A:G,6,0))</f>
        <v/>
      </c>
      <c r="K41" s="37"/>
    </row>
    <row r="42" spans="2:11" x14ac:dyDescent="0.25">
      <c r="F42" s="32" t="str">
        <f t="shared" si="0"/>
        <v/>
      </c>
      <c r="G42" s="19" t="str">
        <f t="shared" si="1"/>
        <v/>
      </c>
      <c r="J42" s="19" t="str">
        <f>IF(A42="","",VLOOKUP(A42,'Sous détail de prix '!A:G,6,0))</f>
        <v/>
      </c>
      <c r="K42" s="37"/>
    </row>
    <row r="43" spans="2:11" x14ac:dyDescent="0.25">
      <c r="F43" s="32" t="str">
        <f t="shared" si="0"/>
        <v/>
      </c>
      <c r="G43" s="19" t="str">
        <f t="shared" si="1"/>
        <v/>
      </c>
      <c r="J43" s="19" t="str">
        <f>IF(A43="","",VLOOKUP(A43,'Sous détail de prix '!A:G,6,0))</f>
        <v/>
      </c>
      <c r="K43" s="37"/>
    </row>
    <row r="44" spans="2:11" x14ac:dyDescent="0.25">
      <c r="F44" s="32" t="str">
        <f t="shared" si="0"/>
        <v/>
      </c>
      <c r="G44" s="19" t="str">
        <f t="shared" si="1"/>
        <v/>
      </c>
      <c r="J44" s="19" t="str">
        <f>IF(A44="","",VLOOKUP(A44,'Sous détail de prix '!A:G,6,0))</f>
        <v/>
      </c>
      <c r="K44" s="37"/>
    </row>
    <row r="45" spans="2:11" x14ac:dyDescent="0.25">
      <c r="F45" s="32" t="str">
        <f t="shared" si="0"/>
        <v/>
      </c>
      <c r="G45" s="19" t="str">
        <f t="shared" si="1"/>
        <v/>
      </c>
      <c r="K45" s="37"/>
    </row>
    <row r="46" spans="2:11" x14ac:dyDescent="0.25">
      <c r="K46" s="37"/>
    </row>
    <row r="47" spans="2:11" x14ac:dyDescent="0.25">
      <c r="K47" s="37"/>
    </row>
    <row r="48" spans="2:11" x14ac:dyDescent="0.25">
      <c r="K48" s="37"/>
    </row>
    <row r="49" spans="11:11" x14ac:dyDescent="0.25">
      <c r="K49" s="37"/>
    </row>
    <row r="50" spans="11:11" x14ac:dyDescent="0.25">
      <c r="K50" s="37"/>
    </row>
    <row r="51" spans="11:11" x14ac:dyDescent="0.25">
      <c r="K51" s="37"/>
    </row>
    <row r="52" spans="11:11" x14ac:dyDescent="0.25">
      <c r="K52" s="37"/>
    </row>
    <row r="53" spans="11:11" x14ac:dyDescent="0.25">
      <c r="K53" s="37"/>
    </row>
    <row r="54" spans="11:11" x14ac:dyDescent="0.25">
      <c r="K54" s="37"/>
    </row>
    <row r="55" spans="11:11" x14ac:dyDescent="0.25">
      <c r="K55" s="37"/>
    </row>
    <row r="56" spans="11:11" x14ac:dyDescent="0.25">
      <c r="K56" s="37"/>
    </row>
    <row r="57" spans="11:11" x14ac:dyDescent="0.25">
      <c r="K57" s="37"/>
    </row>
    <row r="58" spans="11:11" x14ac:dyDescent="0.25">
      <c r="K58" s="37"/>
    </row>
    <row r="59" spans="11:11" x14ac:dyDescent="0.25">
      <c r="K59" s="37"/>
    </row>
    <row r="60" spans="11:11" x14ac:dyDescent="0.25">
      <c r="K60" s="37"/>
    </row>
    <row r="61" spans="11:11" x14ac:dyDescent="0.25">
      <c r="K61" s="37"/>
    </row>
    <row r="62" spans="11:11" x14ac:dyDescent="0.25">
      <c r="K62" s="37"/>
    </row>
    <row r="63" spans="11:11" x14ac:dyDescent="0.25">
      <c r="K63" s="37"/>
    </row>
    <row r="64" spans="11:11" x14ac:dyDescent="0.25">
      <c r="K64" s="37"/>
    </row>
    <row r="65" spans="11:11" x14ac:dyDescent="0.25">
      <c r="K65" s="37"/>
    </row>
    <row r="66" spans="11:11" x14ac:dyDescent="0.25">
      <c r="K66" s="37"/>
    </row>
    <row r="67" spans="11:11" x14ac:dyDescent="0.25">
      <c r="K67" s="37"/>
    </row>
    <row r="68" spans="11:11" x14ac:dyDescent="0.25">
      <c r="K68" s="37"/>
    </row>
    <row r="69" spans="11:11" x14ac:dyDescent="0.25">
      <c r="K69" s="37"/>
    </row>
    <row r="70" spans="11:11" x14ac:dyDescent="0.25">
      <c r="K70" s="37"/>
    </row>
    <row r="71" spans="11:11" x14ac:dyDescent="0.25">
      <c r="K71" s="37"/>
    </row>
    <row r="72" spans="11:11" x14ac:dyDescent="0.25">
      <c r="K72" s="37"/>
    </row>
    <row r="73" spans="11:11" x14ac:dyDescent="0.25">
      <c r="K73" s="37"/>
    </row>
    <row r="74" spans="11:11" x14ac:dyDescent="0.25">
      <c r="K74" s="37"/>
    </row>
    <row r="75" spans="11:11" x14ac:dyDescent="0.25">
      <c r="K75" s="37"/>
    </row>
    <row r="76" spans="11:11" x14ac:dyDescent="0.25">
      <c r="K76" s="37"/>
    </row>
    <row r="77" spans="11:11" x14ac:dyDescent="0.25">
      <c r="K77" s="37"/>
    </row>
    <row r="78" spans="11:11" x14ac:dyDescent="0.25">
      <c r="K78" s="37"/>
    </row>
    <row r="79" spans="11:11" x14ac:dyDescent="0.25">
      <c r="K79" s="37"/>
    </row>
    <row r="80" spans="11:11" x14ac:dyDescent="0.25">
      <c r="K80" s="37"/>
    </row>
    <row r="81" spans="11:11" x14ac:dyDescent="0.25">
      <c r="K81" s="37"/>
    </row>
    <row r="82" spans="11:11" x14ac:dyDescent="0.25">
      <c r="K82" s="37"/>
    </row>
    <row r="83" spans="11:11" x14ac:dyDescent="0.25">
      <c r="K83" s="37"/>
    </row>
    <row r="84" spans="11:11" x14ac:dyDescent="0.25">
      <c r="K84" s="37"/>
    </row>
    <row r="85" spans="11:11" x14ac:dyDescent="0.25">
      <c r="K85" s="37"/>
    </row>
    <row r="86" spans="11:11" x14ac:dyDescent="0.25">
      <c r="K86" s="37"/>
    </row>
    <row r="87" spans="11:11" x14ac:dyDescent="0.25">
      <c r="K87" s="37"/>
    </row>
    <row r="88" spans="11:11" x14ac:dyDescent="0.25">
      <c r="K88" s="37"/>
    </row>
    <row r="89" spans="11:11" x14ac:dyDescent="0.25">
      <c r="K89" s="37"/>
    </row>
    <row r="90" spans="11:11" x14ac:dyDescent="0.25">
      <c r="K90" s="37"/>
    </row>
    <row r="91" spans="11:11" x14ac:dyDescent="0.25">
      <c r="K91" s="37"/>
    </row>
    <row r="92" spans="11:11" x14ac:dyDescent="0.25">
      <c r="K92" s="37"/>
    </row>
    <row r="93" spans="11:11" x14ac:dyDescent="0.25">
      <c r="K93" s="37"/>
    </row>
    <row r="94" spans="11:11" x14ac:dyDescent="0.25">
      <c r="K94" s="37"/>
    </row>
    <row r="95" spans="11:11" x14ac:dyDescent="0.25">
      <c r="K95" s="37"/>
    </row>
    <row r="96" spans="11:11" x14ac:dyDescent="0.25">
      <c r="K96" s="37"/>
    </row>
    <row r="97" spans="11:11" x14ac:dyDescent="0.25">
      <c r="K97" s="37"/>
    </row>
    <row r="98" spans="11:11" x14ac:dyDescent="0.25">
      <c r="K98" s="37"/>
    </row>
    <row r="99" spans="11:11" x14ac:dyDescent="0.25">
      <c r="K99" s="37"/>
    </row>
    <row r="100" spans="11:11" x14ac:dyDescent="0.25">
      <c r="K100" s="37"/>
    </row>
    <row r="101" spans="11:11" x14ac:dyDescent="0.25">
      <c r="K101" s="37"/>
    </row>
    <row r="102" spans="11:11" x14ac:dyDescent="0.25">
      <c r="K102" s="37"/>
    </row>
    <row r="103" spans="11:11" x14ac:dyDescent="0.25">
      <c r="K103" s="37"/>
    </row>
    <row r="104" spans="11:11" x14ac:dyDescent="0.25">
      <c r="K104" s="37"/>
    </row>
    <row r="105" spans="11:11" x14ac:dyDescent="0.25">
      <c r="K105" s="37"/>
    </row>
    <row r="106" spans="11:11" x14ac:dyDescent="0.25">
      <c r="K106" s="37"/>
    </row>
    <row r="107" spans="11:11" x14ac:dyDescent="0.25">
      <c r="K107" s="37"/>
    </row>
    <row r="108" spans="11:11" x14ac:dyDescent="0.25">
      <c r="K108" s="37"/>
    </row>
    <row r="109" spans="11:11" x14ac:dyDescent="0.25">
      <c r="K109" s="37"/>
    </row>
    <row r="110" spans="11:11" x14ac:dyDescent="0.25">
      <c r="K110" s="37"/>
    </row>
    <row r="111" spans="11:11" x14ac:dyDescent="0.25">
      <c r="K111" s="37"/>
    </row>
    <row r="112" spans="11:11" x14ac:dyDescent="0.25">
      <c r="K112" s="37"/>
    </row>
    <row r="113" spans="11:11" x14ac:dyDescent="0.25">
      <c r="K113" s="37"/>
    </row>
    <row r="114" spans="11:11" x14ac:dyDescent="0.25">
      <c r="K114" s="37"/>
    </row>
    <row r="115" spans="11:11" x14ac:dyDescent="0.25">
      <c r="K115" s="37"/>
    </row>
    <row r="116" spans="11:11" x14ac:dyDescent="0.25">
      <c r="K116" s="37"/>
    </row>
    <row r="117" spans="11:11" x14ac:dyDescent="0.25">
      <c r="K117" s="37"/>
    </row>
    <row r="118" spans="11:11" x14ac:dyDescent="0.25">
      <c r="K118" s="37"/>
    </row>
    <row r="119" spans="11:11" x14ac:dyDescent="0.25">
      <c r="K119" s="37"/>
    </row>
    <row r="120" spans="11:11" x14ac:dyDescent="0.25">
      <c r="K120" s="37"/>
    </row>
    <row r="121" spans="11:11" x14ac:dyDescent="0.25">
      <c r="K121" s="37"/>
    </row>
    <row r="122" spans="11:11" x14ac:dyDescent="0.25">
      <c r="K122" s="37"/>
    </row>
    <row r="123" spans="11:11" x14ac:dyDescent="0.25">
      <c r="K123" s="37"/>
    </row>
    <row r="124" spans="11:11" x14ac:dyDescent="0.25">
      <c r="K124" s="37"/>
    </row>
    <row r="125" spans="11:11" x14ac:dyDescent="0.25">
      <c r="K125" s="37"/>
    </row>
    <row r="126" spans="11:11" x14ac:dyDescent="0.25">
      <c r="K126" s="37"/>
    </row>
    <row r="127" spans="11:11" x14ac:dyDescent="0.25">
      <c r="K127" s="37"/>
    </row>
    <row r="128" spans="11:11" x14ac:dyDescent="0.25">
      <c r="K128" s="37"/>
    </row>
    <row r="129" spans="11:11" x14ac:dyDescent="0.25">
      <c r="K129" s="37"/>
    </row>
    <row r="130" spans="11:11" x14ac:dyDescent="0.25">
      <c r="K130" s="37"/>
    </row>
    <row r="131" spans="11:11" x14ac:dyDescent="0.25">
      <c r="K131" s="37"/>
    </row>
    <row r="132" spans="11:11" x14ac:dyDescent="0.25">
      <c r="K132" s="37"/>
    </row>
    <row r="133" spans="11:11" x14ac:dyDescent="0.25">
      <c r="K133" s="37"/>
    </row>
    <row r="134" spans="11:11" x14ac:dyDescent="0.25">
      <c r="K134" s="37"/>
    </row>
    <row r="135" spans="11:11" x14ac:dyDescent="0.25">
      <c r="K135" s="37"/>
    </row>
    <row r="136" spans="11:11" x14ac:dyDescent="0.25">
      <c r="K136" s="37"/>
    </row>
    <row r="137" spans="11:11" x14ac:dyDescent="0.25">
      <c r="K137" s="37"/>
    </row>
    <row r="138" spans="11:11" x14ac:dyDescent="0.25">
      <c r="K138" s="37"/>
    </row>
    <row r="139" spans="11:11" x14ac:dyDescent="0.25">
      <c r="K139" s="37"/>
    </row>
    <row r="140" spans="11:11" x14ac:dyDescent="0.25">
      <c r="K140" s="37"/>
    </row>
    <row r="141" spans="11:11" x14ac:dyDescent="0.25">
      <c r="K141" s="37"/>
    </row>
    <row r="142" spans="11:11" x14ac:dyDescent="0.25">
      <c r="K142" s="37"/>
    </row>
    <row r="143" spans="11:11" x14ac:dyDescent="0.25">
      <c r="K143" s="37"/>
    </row>
    <row r="144" spans="11:11" x14ac:dyDescent="0.25">
      <c r="K144" s="37"/>
    </row>
    <row r="145" spans="11:11" x14ac:dyDescent="0.25">
      <c r="K145" s="37"/>
    </row>
    <row r="146" spans="11:11" x14ac:dyDescent="0.25">
      <c r="K146" s="37"/>
    </row>
    <row r="147" spans="11:11" x14ac:dyDescent="0.25">
      <c r="K147" s="37"/>
    </row>
    <row r="148" spans="11:11" x14ac:dyDescent="0.25">
      <c r="K148" s="37"/>
    </row>
    <row r="149" spans="11:11" x14ac:dyDescent="0.25">
      <c r="K149" s="37"/>
    </row>
    <row r="150" spans="11:11" x14ac:dyDescent="0.25">
      <c r="K150" s="37"/>
    </row>
    <row r="151" spans="11:11" x14ac:dyDescent="0.25">
      <c r="K151" s="37"/>
    </row>
    <row r="152" spans="11:11" x14ac:dyDescent="0.25">
      <c r="K152" s="37"/>
    </row>
    <row r="153" spans="11:11" x14ac:dyDescent="0.25">
      <c r="K153" s="37"/>
    </row>
    <row r="154" spans="11:11" x14ac:dyDescent="0.25">
      <c r="K154" s="37"/>
    </row>
    <row r="155" spans="11:11" x14ac:dyDescent="0.25">
      <c r="K155" s="37"/>
    </row>
    <row r="156" spans="11:11" x14ac:dyDescent="0.25">
      <c r="K156" s="37"/>
    </row>
    <row r="157" spans="11:11" x14ac:dyDescent="0.25">
      <c r="K157" s="37"/>
    </row>
    <row r="158" spans="11:11" x14ac:dyDescent="0.25">
      <c r="K158" s="37"/>
    </row>
    <row r="159" spans="11:11" x14ac:dyDescent="0.25">
      <c r="K159" s="37"/>
    </row>
    <row r="160" spans="11:11" x14ac:dyDescent="0.25">
      <c r="K160" s="37"/>
    </row>
    <row r="161" spans="11:11" x14ac:dyDescent="0.25">
      <c r="K161" s="37"/>
    </row>
    <row r="162" spans="11:11" x14ac:dyDescent="0.25">
      <c r="K162" s="37"/>
    </row>
    <row r="163" spans="11:11" x14ac:dyDescent="0.25">
      <c r="K163" s="37"/>
    </row>
    <row r="164" spans="11:11" x14ac:dyDescent="0.25">
      <c r="K164" s="37"/>
    </row>
    <row r="165" spans="11:11" x14ac:dyDescent="0.25">
      <c r="K165" s="37"/>
    </row>
    <row r="166" spans="11:11" x14ac:dyDescent="0.25">
      <c r="K166" s="37"/>
    </row>
    <row r="167" spans="11:11" x14ac:dyDescent="0.25">
      <c r="K167" s="37"/>
    </row>
    <row r="168" spans="11:11" x14ac:dyDescent="0.25">
      <c r="K168" s="37"/>
    </row>
    <row r="169" spans="11:11" x14ac:dyDescent="0.25">
      <c r="K169" s="37"/>
    </row>
    <row r="170" spans="11:11" x14ac:dyDescent="0.25">
      <c r="K170" s="37"/>
    </row>
    <row r="171" spans="11:11" x14ac:dyDescent="0.25">
      <c r="K171" s="37"/>
    </row>
    <row r="172" spans="11:11" x14ac:dyDescent="0.25">
      <c r="K172" s="37"/>
    </row>
    <row r="173" spans="11:11" x14ac:dyDescent="0.25">
      <c r="K173" s="37"/>
    </row>
    <row r="174" spans="11:11" x14ac:dyDescent="0.25">
      <c r="K174" s="37"/>
    </row>
    <row r="175" spans="11:11" x14ac:dyDescent="0.25">
      <c r="K175" s="37"/>
    </row>
    <row r="176" spans="11:11" x14ac:dyDescent="0.25">
      <c r="K176" s="37"/>
    </row>
    <row r="177" spans="11:11" x14ac:dyDescent="0.25">
      <c r="K177" s="37"/>
    </row>
    <row r="178" spans="11:11" x14ac:dyDescent="0.25">
      <c r="K178" s="37"/>
    </row>
    <row r="179" spans="11:11" x14ac:dyDescent="0.25">
      <c r="K179" s="37"/>
    </row>
    <row r="180" spans="11:11" x14ac:dyDescent="0.25">
      <c r="K180" s="37"/>
    </row>
    <row r="181" spans="11:11" x14ac:dyDescent="0.25">
      <c r="K181" s="37"/>
    </row>
    <row r="182" spans="11:11" x14ac:dyDescent="0.25">
      <c r="K182" s="37"/>
    </row>
    <row r="183" spans="11:11" x14ac:dyDescent="0.25">
      <c r="K183" s="37"/>
    </row>
    <row r="184" spans="11:11" x14ac:dyDescent="0.25">
      <c r="K184" s="37"/>
    </row>
    <row r="185" spans="11:11" x14ac:dyDescent="0.25">
      <c r="K185" s="37"/>
    </row>
    <row r="186" spans="11:11" x14ac:dyDescent="0.25">
      <c r="K186" s="37"/>
    </row>
    <row r="187" spans="11:11" x14ac:dyDescent="0.25">
      <c r="K187" s="37"/>
    </row>
    <row r="188" spans="11:11" x14ac:dyDescent="0.25">
      <c r="K188" s="37"/>
    </row>
    <row r="189" spans="11:11" x14ac:dyDescent="0.25">
      <c r="K189" s="37"/>
    </row>
    <row r="190" spans="11:11" x14ac:dyDescent="0.25">
      <c r="K190" s="37"/>
    </row>
    <row r="191" spans="11:11" x14ac:dyDescent="0.25">
      <c r="K191" s="37"/>
    </row>
    <row r="192" spans="11:11" x14ac:dyDescent="0.25">
      <c r="K192" s="37"/>
    </row>
    <row r="193" spans="11:11" x14ac:dyDescent="0.25">
      <c r="K193" s="37"/>
    </row>
    <row r="194" spans="11:11" x14ac:dyDescent="0.25">
      <c r="K194" s="37"/>
    </row>
    <row r="195" spans="11:11" x14ac:dyDescent="0.25">
      <c r="K195" s="37"/>
    </row>
    <row r="196" spans="11:11" x14ac:dyDescent="0.25">
      <c r="K196" s="37"/>
    </row>
    <row r="197" spans="11:11" x14ac:dyDescent="0.25">
      <c r="K197" s="37"/>
    </row>
    <row r="198" spans="11:11" x14ac:dyDescent="0.25">
      <c r="K198" s="37"/>
    </row>
    <row r="199" spans="11:11" x14ac:dyDescent="0.25">
      <c r="K199" s="37"/>
    </row>
    <row r="200" spans="11:11" x14ac:dyDescent="0.25">
      <c r="K200" s="37"/>
    </row>
    <row r="201" spans="11:11" x14ac:dyDescent="0.25">
      <c r="K201" s="37"/>
    </row>
    <row r="202" spans="11:11" x14ac:dyDescent="0.25">
      <c r="K202" s="37"/>
    </row>
    <row r="203" spans="11:11" x14ac:dyDescent="0.25">
      <c r="K203" s="37"/>
    </row>
    <row r="204" spans="11:11" x14ac:dyDescent="0.25">
      <c r="K204" s="37"/>
    </row>
    <row r="205" spans="11:11" x14ac:dyDescent="0.25">
      <c r="K205" s="37"/>
    </row>
    <row r="206" spans="11:11" x14ac:dyDescent="0.25">
      <c r="K206" s="37"/>
    </row>
    <row r="207" spans="11:11" x14ac:dyDescent="0.25">
      <c r="K207" s="37"/>
    </row>
    <row r="208" spans="11:11" x14ac:dyDescent="0.25">
      <c r="K208" s="37"/>
    </row>
    <row r="209" spans="11:11" x14ac:dyDescent="0.25">
      <c r="K209" s="37"/>
    </row>
    <row r="210" spans="11:11" x14ac:dyDescent="0.25">
      <c r="K210" s="37"/>
    </row>
    <row r="211" spans="11:11" x14ac:dyDescent="0.25">
      <c r="K211" s="37"/>
    </row>
    <row r="212" spans="11:11" x14ac:dyDescent="0.25">
      <c r="K212" s="37"/>
    </row>
    <row r="213" spans="11:11" x14ac:dyDescent="0.25">
      <c r="K213" s="37"/>
    </row>
    <row r="214" spans="11:11" x14ac:dyDescent="0.25">
      <c r="K214" s="37"/>
    </row>
    <row r="215" spans="11:11" x14ac:dyDescent="0.25">
      <c r="K215" s="37"/>
    </row>
    <row r="216" spans="11:11" x14ac:dyDescent="0.25">
      <c r="K216" s="37"/>
    </row>
    <row r="217" spans="11:11" x14ac:dyDescent="0.25">
      <c r="K217" s="37"/>
    </row>
    <row r="218" spans="11:11" x14ac:dyDescent="0.25">
      <c r="K218" s="37"/>
    </row>
    <row r="219" spans="11:11" x14ac:dyDescent="0.25">
      <c r="K219" s="37"/>
    </row>
    <row r="220" spans="11:11" x14ac:dyDescent="0.25">
      <c r="K220" s="37"/>
    </row>
    <row r="221" spans="11:11" x14ac:dyDescent="0.25">
      <c r="K221" s="37"/>
    </row>
    <row r="222" spans="11:11" x14ac:dyDescent="0.25">
      <c r="K222" s="37"/>
    </row>
    <row r="223" spans="11:11" x14ac:dyDescent="0.25">
      <c r="K223" s="37"/>
    </row>
    <row r="224" spans="11:11" x14ac:dyDescent="0.25">
      <c r="K224" s="37"/>
    </row>
    <row r="225" spans="11:11" x14ac:dyDescent="0.25">
      <c r="K225" s="37"/>
    </row>
    <row r="226" spans="11:11" x14ac:dyDescent="0.25">
      <c r="K226" s="37"/>
    </row>
    <row r="227" spans="11:11" x14ac:dyDescent="0.25">
      <c r="K227" s="37"/>
    </row>
    <row r="228" spans="11:11" x14ac:dyDescent="0.25">
      <c r="K228" s="37"/>
    </row>
    <row r="229" spans="11:11" x14ac:dyDescent="0.25">
      <c r="K229" s="37"/>
    </row>
    <row r="230" spans="11:11" x14ac:dyDescent="0.25">
      <c r="K230" s="37"/>
    </row>
    <row r="231" spans="11:11" x14ac:dyDescent="0.25">
      <c r="K231" s="37"/>
    </row>
    <row r="232" spans="11:11" x14ac:dyDescent="0.25">
      <c r="K232" s="37"/>
    </row>
    <row r="233" spans="11:11" x14ac:dyDescent="0.25">
      <c r="K233" s="37"/>
    </row>
    <row r="234" spans="11:11" x14ac:dyDescent="0.25">
      <c r="K234" s="37"/>
    </row>
    <row r="235" spans="11:11" x14ac:dyDescent="0.25">
      <c r="K235" s="37"/>
    </row>
    <row r="236" spans="11:11" x14ac:dyDescent="0.25">
      <c r="K236" s="37"/>
    </row>
    <row r="237" spans="11:11" x14ac:dyDescent="0.25">
      <c r="K237" s="37"/>
    </row>
    <row r="238" spans="11:11" x14ac:dyDescent="0.25">
      <c r="K238" s="37"/>
    </row>
    <row r="239" spans="11:11" x14ac:dyDescent="0.25">
      <c r="K239" s="37"/>
    </row>
    <row r="240" spans="11:11" x14ac:dyDescent="0.25">
      <c r="K240" s="37"/>
    </row>
    <row r="241" spans="11:11" x14ac:dyDescent="0.25">
      <c r="K241" s="37"/>
    </row>
    <row r="242" spans="11:11" x14ac:dyDescent="0.25">
      <c r="K242" s="37"/>
    </row>
    <row r="243" spans="11:11" x14ac:dyDescent="0.25">
      <c r="K243" s="37"/>
    </row>
    <row r="244" spans="11:11" x14ac:dyDescent="0.25">
      <c r="K244" s="37"/>
    </row>
    <row r="245" spans="11:11" x14ac:dyDescent="0.25">
      <c r="K245" s="37"/>
    </row>
    <row r="246" spans="11:11" x14ac:dyDescent="0.25">
      <c r="K246" s="37"/>
    </row>
    <row r="247" spans="11:11" x14ac:dyDescent="0.25">
      <c r="K247" s="37"/>
    </row>
    <row r="248" spans="11:11" x14ac:dyDescent="0.25">
      <c r="K248" s="37"/>
    </row>
    <row r="249" spans="11:11" x14ac:dyDescent="0.25">
      <c r="K249" s="37"/>
    </row>
    <row r="250" spans="11:11" x14ac:dyDescent="0.25">
      <c r="K250" s="37"/>
    </row>
    <row r="251" spans="11:11" x14ac:dyDescent="0.25">
      <c r="K251" s="37"/>
    </row>
    <row r="252" spans="11:11" x14ac:dyDescent="0.25">
      <c r="K252" s="37"/>
    </row>
    <row r="253" spans="11:11" x14ac:dyDescent="0.25">
      <c r="K253" s="37"/>
    </row>
    <row r="254" spans="11:11" x14ac:dyDescent="0.25">
      <c r="K254" s="37"/>
    </row>
    <row r="255" spans="11:11" x14ac:dyDescent="0.25">
      <c r="K255" s="37"/>
    </row>
    <row r="256" spans="11:11" x14ac:dyDescent="0.25">
      <c r="K256" s="37"/>
    </row>
    <row r="257" spans="11:11" x14ac:dyDescent="0.25">
      <c r="K257" s="37"/>
    </row>
    <row r="258" spans="11:11" x14ac:dyDescent="0.25">
      <c r="K258" s="37"/>
    </row>
    <row r="259" spans="11:11" x14ac:dyDescent="0.25">
      <c r="K259" s="37"/>
    </row>
    <row r="260" spans="11:11" x14ac:dyDescent="0.25">
      <c r="K260" s="37"/>
    </row>
    <row r="261" spans="11:11" x14ac:dyDescent="0.25">
      <c r="K261" s="37"/>
    </row>
    <row r="262" spans="11:11" x14ac:dyDescent="0.25">
      <c r="K262" s="37"/>
    </row>
    <row r="263" spans="11:11" x14ac:dyDescent="0.25">
      <c r="K263" s="37"/>
    </row>
    <row r="264" spans="11:11" x14ac:dyDescent="0.25">
      <c r="K264" s="37"/>
    </row>
    <row r="265" spans="11:11" x14ac:dyDescent="0.25">
      <c r="K265" s="37"/>
    </row>
    <row r="266" spans="11:11" x14ac:dyDescent="0.25">
      <c r="K266" s="37"/>
    </row>
    <row r="267" spans="11:11" x14ac:dyDescent="0.25">
      <c r="K267" s="37"/>
    </row>
    <row r="268" spans="11:11" x14ac:dyDescent="0.25">
      <c r="K268" s="37"/>
    </row>
    <row r="269" spans="11:11" x14ac:dyDescent="0.25">
      <c r="K269" s="37"/>
    </row>
    <row r="270" spans="11:11" x14ac:dyDescent="0.25">
      <c r="K270" s="37"/>
    </row>
    <row r="271" spans="11:11" x14ac:dyDescent="0.25">
      <c r="K271" s="37"/>
    </row>
    <row r="272" spans="11:11" x14ac:dyDescent="0.25">
      <c r="K272" s="37"/>
    </row>
    <row r="273" spans="11:11" x14ac:dyDescent="0.25">
      <c r="K273" s="37"/>
    </row>
    <row r="274" spans="11:11" x14ac:dyDescent="0.25">
      <c r="K274" s="37"/>
    </row>
    <row r="275" spans="11:11" x14ac:dyDescent="0.25">
      <c r="K275" s="37"/>
    </row>
    <row r="276" spans="11:11" x14ac:dyDescent="0.25">
      <c r="K276" s="37"/>
    </row>
    <row r="277" spans="11:11" x14ac:dyDescent="0.25">
      <c r="K277" s="37"/>
    </row>
    <row r="278" spans="11:11" x14ac:dyDescent="0.25">
      <c r="K278" s="37"/>
    </row>
    <row r="279" spans="11:11" x14ac:dyDescent="0.25">
      <c r="K279" s="37"/>
    </row>
    <row r="280" spans="11:11" x14ac:dyDescent="0.25">
      <c r="K280" s="37"/>
    </row>
    <row r="281" spans="11:11" x14ac:dyDescent="0.25">
      <c r="K281" s="37"/>
    </row>
    <row r="282" spans="11:11" x14ac:dyDescent="0.25">
      <c r="K282" s="37"/>
    </row>
    <row r="283" spans="11:11" x14ac:dyDescent="0.25">
      <c r="K283" s="37"/>
    </row>
    <row r="284" spans="11:11" x14ac:dyDescent="0.25">
      <c r="K284" s="37"/>
    </row>
    <row r="285" spans="11:11" x14ac:dyDescent="0.25">
      <c r="K285" s="37"/>
    </row>
    <row r="286" spans="11:11" x14ac:dyDescent="0.25">
      <c r="K286" s="37"/>
    </row>
    <row r="287" spans="11:11" x14ac:dyDescent="0.25">
      <c r="K287" s="37"/>
    </row>
    <row r="288" spans="11:11" x14ac:dyDescent="0.25">
      <c r="K288" s="37"/>
    </row>
    <row r="289" spans="11:11" x14ac:dyDescent="0.25">
      <c r="K289" s="37"/>
    </row>
    <row r="290" spans="11:11" x14ac:dyDescent="0.25">
      <c r="K290" s="37"/>
    </row>
    <row r="291" spans="11:11" x14ac:dyDescent="0.25">
      <c r="K291" s="37"/>
    </row>
    <row r="292" spans="11:11" x14ac:dyDescent="0.25">
      <c r="K292" s="37"/>
    </row>
    <row r="293" spans="11:11" x14ac:dyDescent="0.25">
      <c r="K293" s="37"/>
    </row>
    <row r="294" spans="11:11" x14ac:dyDescent="0.25">
      <c r="K294" s="37"/>
    </row>
    <row r="295" spans="11:11" x14ac:dyDescent="0.25">
      <c r="K295" s="37"/>
    </row>
    <row r="296" spans="11:11" x14ac:dyDescent="0.25">
      <c r="K296" s="37"/>
    </row>
    <row r="297" spans="11:11" x14ac:dyDescent="0.25">
      <c r="K297" s="37"/>
    </row>
    <row r="298" spans="11:11" x14ac:dyDescent="0.25">
      <c r="K298" s="37"/>
    </row>
    <row r="299" spans="11:11" x14ac:dyDescent="0.25">
      <c r="K299" s="37"/>
    </row>
    <row r="300" spans="11:11" x14ac:dyDescent="0.25">
      <c r="K300" s="37"/>
    </row>
    <row r="301" spans="11:11" x14ac:dyDescent="0.25">
      <c r="K301" s="37"/>
    </row>
    <row r="302" spans="11:11" x14ac:dyDescent="0.25">
      <c r="K302" s="37"/>
    </row>
    <row r="303" spans="11:11" x14ac:dyDescent="0.25">
      <c r="K303" s="37"/>
    </row>
    <row r="304" spans="11:11" x14ac:dyDescent="0.25">
      <c r="K304" s="37"/>
    </row>
    <row r="305" spans="11:11" x14ac:dyDescent="0.25">
      <c r="K305" s="37"/>
    </row>
    <row r="306" spans="11:11" x14ac:dyDescent="0.25">
      <c r="K306" s="37"/>
    </row>
    <row r="307" spans="11:11" x14ac:dyDescent="0.25">
      <c r="K307" s="37"/>
    </row>
    <row r="308" spans="11:11" x14ac:dyDescent="0.25">
      <c r="K308" s="37"/>
    </row>
    <row r="309" spans="11:11" x14ac:dyDescent="0.25">
      <c r="K309" s="37"/>
    </row>
    <row r="310" spans="11:11" x14ac:dyDescent="0.25">
      <c r="K310" s="37"/>
    </row>
    <row r="311" spans="11:11" x14ac:dyDescent="0.25">
      <c r="K311" s="37"/>
    </row>
    <row r="312" spans="11:11" x14ac:dyDescent="0.25">
      <c r="K312" s="37"/>
    </row>
    <row r="313" spans="11:11" x14ac:dyDescent="0.25">
      <c r="K313" s="37"/>
    </row>
    <row r="314" spans="11:11" x14ac:dyDescent="0.25">
      <c r="K314" s="37"/>
    </row>
    <row r="315" spans="11:11" x14ac:dyDescent="0.25">
      <c r="K315" s="37"/>
    </row>
    <row r="316" spans="11:11" x14ac:dyDescent="0.25">
      <c r="K316" s="37"/>
    </row>
    <row r="317" spans="11:11" x14ac:dyDescent="0.25">
      <c r="K317" s="37"/>
    </row>
    <row r="318" spans="11:11" x14ac:dyDescent="0.25">
      <c r="K318" s="37"/>
    </row>
    <row r="319" spans="11:11" x14ac:dyDescent="0.25">
      <c r="K319" s="37"/>
    </row>
    <row r="320" spans="11:11" x14ac:dyDescent="0.25">
      <c r="K320" s="37"/>
    </row>
    <row r="321" spans="11:11" x14ac:dyDescent="0.25">
      <c r="K321" s="37"/>
    </row>
    <row r="322" spans="11:11" x14ac:dyDescent="0.25">
      <c r="K322" s="37"/>
    </row>
    <row r="323" spans="11:11" x14ac:dyDescent="0.25">
      <c r="K323" s="37"/>
    </row>
    <row r="324" spans="11:11" x14ac:dyDescent="0.25">
      <c r="K324" s="37"/>
    </row>
    <row r="325" spans="11:11" x14ac:dyDescent="0.25">
      <c r="K325" s="37"/>
    </row>
    <row r="326" spans="11:11" x14ac:dyDescent="0.25">
      <c r="K326" s="37"/>
    </row>
    <row r="327" spans="11:11" x14ac:dyDescent="0.25">
      <c r="K327" s="37"/>
    </row>
    <row r="328" spans="11:11" x14ac:dyDescent="0.25">
      <c r="K328" s="37"/>
    </row>
    <row r="329" spans="11:11" x14ac:dyDescent="0.25">
      <c r="K329" s="37"/>
    </row>
    <row r="330" spans="11:11" x14ac:dyDescent="0.25">
      <c r="K330" s="37"/>
    </row>
    <row r="331" spans="11:11" x14ac:dyDescent="0.25">
      <c r="K331" s="37"/>
    </row>
    <row r="332" spans="11:11" x14ac:dyDescent="0.25">
      <c r="K332" s="37"/>
    </row>
    <row r="333" spans="11:11" x14ac:dyDescent="0.25">
      <c r="K333" s="37"/>
    </row>
    <row r="334" spans="11:11" x14ac:dyDescent="0.25">
      <c r="K334" s="37"/>
    </row>
    <row r="335" spans="11:11" x14ac:dyDescent="0.25">
      <c r="K335" s="37"/>
    </row>
    <row r="336" spans="11:11" x14ac:dyDescent="0.25">
      <c r="K336" s="37"/>
    </row>
    <row r="337" spans="11:11" x14ac:dyDescent="0.25">
      <c r="K337" s="37"/>
    </row>
    <row r="338" spans="11:11" x14ac:dyDescent="0.25">
      <c r="K338" s="37"/>
    </row>
    <row r="339" spans="11:11" x14ac:dyDescent="0.25">
      <c r="K339" s="37"/>
    </row>
    <row r="340" spans="11:11" x14ac:dyDescent="0.25">
      <c r="K340" s="37"/>
    </row>
    <row r="341" spans="11:11" x14ac:dyDescent="0.25">
      <c r="K341" s="37"/>
    </row>
    <row r="342" spans="11:11" x14ac:dyDescent="0.25">
      <c r="K342" s="37"/>
    </row>
    <row r="343" spans="11:11" x14ac:dyDescent="0.25">
      <c r="K343" s="37"/>
    </row>
    <row r="344" spans="11:11" x14ac:dyDescent="0.25">
      <c r="K344" s="37"/>
    </row>
    <row r="345" spans="11:11" x14ac:dyDescent="0.25">
      <c r="K345" s="37"/>
    </row>
    <row r="346" spans="11:11" x14ac:dyDescent="0.25">
      <c r="K346" s="37"/>
    </row>
    <row r="347" spans="11:11" x14ac:dyDescent="0.25">
      <c r="K347" s="37"/>
    </row>
    <row r="348" spans="11:11" x14ac:dyDescent="0.25">
      <c r="K348" s="37"/>
    </row>
    <row r="349" spans="11:11" x14ac:dyDescent="0.25">
      <c r="K349" s="37"/>
    </row>
    <row r="350" spans="11:11" x14ac:dyDescent="0.25">
      <c r="K350" s="37"/>
    </row>
    <row r="351" spans="11:11" x14ac:dyDescent="0.25">
      <c r="K351" s="37"/>
    </row>
    <row r="352" spans="11:11" x14ac:dyDescent="0.25">
      <c r="K352" s="37"/>
    </row>
    <row r="353" spans="11:11" x14ac:dyDescent="0.25">
      <c r="K353" s="37"/>
    </row>
    <row r="354" spans="11:11" x14ac:dyDescent="0.25">
      <c r="K354" s="37"/>
    </row>
    <row r="355" spans="11:11" x14ac:dyDescent="0.25">
      <c r="K355" s="37"/>
    </row>
    <row r="356" spans="11:11" x14ac:dyDescent="0.25">
      <c r="K356" s="37"/>
    </row>
    <row r="357" spans="11:11" x14ac:dyDescent="0.25">
      <c r="K357" s="37"/>
    </row>
    <row r="358" spans="11:11" x14ac:dyDescent="0.25">
      <c r="K358" s="37"/>
    </row>
    <row r="359" spans="11:11" x14ac:dyDescent="0.25">
      <c r="K359" s="37"/>
    </row>
    <row r="360" spans="11:11" x14ac:dyDescent="0.25">
      <c r="K360" s="37"/>
    </row>
    <row r="361" spans="11:11" x14ac:dyDescent="0.25">
      <c r="K361" s="37"/>
    </row>
    <row r="362" spans="11:11" x14ac:dyDescent="0.25">
      <c r="K362" s="37"/>
    </row>
    <row r="363" spans="11:11" x14ac:dyDescent="0.25">
      <c r="K363" s="37"/>
    </row>
    <row r="364" spans="11:11" x14ac:dyDescent="0.25">
      <c r="K364" s="37"/>
    </row>
    <row r="365" spans="11:11" x14ac:dyDescent="0.25">
      <c r="K365" s="37"/>
    </row>
    <row r="366" spans="11:11" x14ac:dyDescent="0.25">
      <c r="K366" s="37"/>
    </row>
    <row r="367" spans="11:11" x14ac:dyDescent="0.25">
      <c r="K367" s="37"/>
    </row>
    <row r="368" spans="11:11" x14ac:dyDescent="0.25">
      <c r="K368" s="37"/>
    </row>
    <row r="369" spans="11:11" x14ac:dyDescent="0.25">
      <c r="K369" s="37"/>
    </row>
    <row r="370" spans="11:11" x14ac:dyDescent="0.25">
      <c r="K370" s="37"/>
    </row>
    <row r="371" spans="11:11" x14ac:dyDescent="0.25">
      <c r="K371" s="37"/>
    </row>
    <row r="372" spans="11:11" x14ac:dyDescent="0.25">
      <c r="K372" s="37"/>
    </row>
    <row r="373" spans="11:11" x14ac:dyDescent="0.25">
      <c r="K373" s="37"/>
    </row>
    <row r="374" spans="11:11" x14ac:dyDescent="0.25">
      <c r="K374" s="37"/>
    </row>
    <row r="375" spans="11:11" x14ac:dyDescent="0.25">
      <c r="K375" s="37"/>
    </row>
    <row r="376" spans="11:11" x14ac:dyDescent="0.25">
      <c r="K376" s="37"/>
    </row>
    <row r="377" spans="11:11" x14ac:dyDescent="0.25">
      <c r="K377" s="37"/>
    </row>
    <row r="378" spans="11:11" x14ac:dyDescent="0.25">
      <c r="K378" s="37"/>
    </row>
    <row r="379" spans="11:11" x14ac:dyDescent="0.25">
      <c r="K379" s="37"/>
    </row>
    <row r="380" spans="11:11" x14ac:dyDescent="0.25">
      <c r="K380" s="37"/>
    </row>
    <row r="381" spans="11:11" x14ac:dyDescent="0.25">
      <c r="K381" s="37"/>
    </row>
    <row r="382" spans="11:11" x14ac:dyDescent="0.25">
      <c r="K382" s="37"/>
    </row>
    <row r="383" spans="11:11" x14ac:dyDescent="0.25">
      <c r="K383" s="37"/>
    </row>
    <row r="384" spans="11:11" x14ac:dyDescent="0.25">
      <c r="K384" s="37"/>
    </row>
    <row r="385" spans="11:11" x14ac:dyDescent="0.25">
      <c r="K385" s="37"/>
    </row>
    <row r="386" spans="11:11" x14ac:dyDescent="0.25">
      <c r="K386" s="37"/>
    </row>
    <row r="387" spans="11:11" x14ac:dyDescent="0.25">
      <c r="K387" s="37"/>
    </row>
    <row r="388" spans="11:11" x14ac:dyDescent="0.25">
      <c r="K388" s="37"/>
    </row>
    <row r="389" spans="11:11" x14ac:dyDescent="0.25">
      <c r="K389" s="37"/>
    </row>
    <row r="390" spans="11:11" x14ac:dyDescent="0.25">
      <c r="K390" s="37"/>
    </row>
    <row r="391" spans="11:11" x14ac:dyDescent="0.25">
      <c r="K391" s="37"/>
    </row>
    <row r="392" spans="11:11" x14ac:dyDescent="0.25">
      <c r="K392" s="37"/>
    </row>
    <row r="393" spans="11:11" x14ac:dyDescent="0.25">
      <c r="K393" s="37"/>
    </row>
    <row r="394" spans="11:11" x14ac:dyDescent="0.25">
      <c r="K394" s="37"/>
    </row>
    <row r="395" spans="11:11" x14ac:dyDescent="0.25">
      <c r="K395" s="37"/>
    </row>
    <row r="396" spans="11:11" x14ac:dyDescent="0.25">
      <c r="K396" s="37"/>
    </row>
    <row r="397" spans="11:11" x14ac:dyDescent="0.25">
      <c r="K397" s="37"/>
    </row>
    <row r="398" spans="11:11" x14ac:dyDescent="0.25">
      <c r="K398" s="37"/>
    </row>
    <row r="399" spans="11:11" x14ac:dyDescent="0.25">
      <c r="K399" s="37"/>
    </row>
    <row r="400" spans="11:11" x14ac:dyDescent="0.25">
      <c r="K400" s="37"/>
    </row>
    <row r="401" spans="11:11" x14ac:dyDescent="0.25">
      <c r="K401" s="37"/>
    </row>
    <row r="402" spans="11:11" x14ac:dyDescent="0.25">
      <c r="K402" s="37"/>
    </row>
    <row r="403" spans="11:11" x14ac:dyDescent="0.25">
      <c r="K403" s="37"/>
    </row>
    <row r="404" spans="11:11" x14ac:dyDescent="0.25">
      <c r="K404" s="37"/>
    </row>
    <row r="405" spans="11:11" x14ac:dyDescent="0.25">
      <c r="K405" s="37"/>
    </row>
    <row r="406" spans="11:11" x14ac:dyDescent="0.25">
      <c r="K406" s="37"/>
    </row>
    <row r="407" spans="11:11" x14ac:dyDescent="0.25">
      <c r="K407" s="37"/>
    </row>
    <row r="408" spans="11:11" x14ac:dyDescent="0.25">
      <c r="K408" s="37"/>
    </row>
    <row r="409" spans="11:11" x14ac:dyDescent="0.25">
      <c r="K409" s="37"/>
    </row>
    <row r="410" spans="11:11" x14ac:dyDescent="0.25">
      <c r="K410" s="37"/>
    </row>
    <row r="411" spans="11:11" x14ac:dyDescent="0.25">
      <c r="K411" s="37"/>
    </row>
    <row r="412" spans="11:11" x14ac:dyDescent="0.25">
      <c r="K412" s="37"/>
    </row>
    <row r="413" spans="11:11" x14ac:dyDescent="0.25">
      <c r="K413" s="37"/>
    </row>
    <row r="414" spans="11:11" x14ac:dyDescent="0.25">
      <c r="K414" s="37"/>
    </row>
    <row r="415" spans="11:11" x14ac:dyDescent="0.25">
      <c r="K415" s="37"/>
    </row>
    <row r="416" spans="11:11" x14ac:dyDescent="0.25">
      <c r="K416" s="37"/>
    </row>
    <row r="417" spans="11:11" x14ac:dyDescent="0.25">
      <c r="K417" s="37"/>
    </row>
    <row r="418" spans="11:11" x14ac:dyDescent="0.25">
      <c r="K418" s="37"/>
    </row>
    <row r="419" spans="11:11" x14ac:dyDescent="0.25">
      <c r="K419" s="37"/>
    </row>
    <row r="420" spans="11:11" x14ac:dyDescent="0.25">
      <c r="K420" s="37"/>
    </row>
    <row r="421" spans="11:11" x14ac:dyDescent="0.25">
      <c r="K421" s="37"/>
    </row>
    <row r="422" spans="11:11" x14ac:dyDescent="0.25">
      <c r="K422" s="37"/>
    </row>
    <row r="423" spans="11:11" x14ac:dyDescent="0.25">
      <c r="K423" s="37"/>
    </row>
    <row r="424" spans="11:11" x14ac:dyDescent="0.25">
      <c r="K424" s="37"/>
    </row>
    <row r="425" spans="11:11" x14ac:dyDescent="0.25">
      <c r="K425" s="37"/>
    </row>
    <row r="426" spans="11:11" x14ac:dyDescent="0.25">
      <c r="K426" s="37"/>
    </row>
    <row r="427" spans="11:11" x14ac:dyDescent="0.25">
      <c r="K427" s="37"/>
    </row>
    <row r="428" spans="11:11" x14ac:dyDescent="0.25">
      <c r="K428" s="37"/>
    </row>
    <row r="429" spans="11:11" x14ac:dyDescent="0.25">
      <c r="K429" s="37"/>
    </row>
    <row r="430" spans="11:11" x14ac:dyDescent="0.25">
      <c r="K430" s="37"/>
    </row>
    <row r="431" spans="11:11" x14ac:dyDescent="0.25">
      <c r="K431" s="37"/>
    </row>
    <row r="432" spans="11:11" x14ac:dyDescent="0.25">
      <c r="K432" s="37"/>
    </row>
    <row r="433" spans="11:11" x14ac:dyDescent="0.25">
      <c r="K433" s="37"/>
    </row>
    <row r="434" spans="11:11" x14ac:dyDescent="0.25">
      <c r="K434" s="37"/>
    </row>
    <row r="435" spans="11:11" x14ac:dyDescent="0.25">
      <c r="K435" s="37"/>
    </row>
    <row r="436" spans="11:11" x14ac:dyDescent="0.25">
      <c r="K436" s="37"/>
    </row>
    <row r="437" spans="11:11" x14ac:dyDescent="0.25">
      <c r="K437" s="37"/>
    </row>
    <row r="438" spans="11:11" x14ac:dyDescent="0.25">
      <c r="K438" s="37"/>
    </row>
    <row r="439" spans="11:11" x14ac:dyDescent="0.25">
      <c r="K439" s="37"/>
    </row>
    <row r="440" spans="11:11" x14ac:dyDescent="0.25">
      <c r="K440" s="37"/>
    </row>
    <row r="441" spans="11:11" x14ac:dyDescent="0.25">
      <c r="K441" s="37"/>
    </row>
    <row r="442" spans="11:11" x14ac:dyDescent="0.25">
      <c r="K442" s="37"/>
    </row>
    <row r="443" spans="11:11" x14ac:dyDescent="0.25">
      <c r="K443" s="37"/>
    </row>
    <row r="444" spans="11:11" x14ac:dyDescent="0.25">
      <c r="K444" s="37"/>
    </row>
    <row r="445" spans="11:11" x14ac:dyDescent="0.25">
      <c r="K445" s="37"/>
    </row>
    <row r="446" spans="11:11" x14ac:dyDescent="0.25">
      <c r="K446" s="37"/>
    </row>
    <row r="447" spans="11:11" x14ac:dyDescent="0.25">
      <c r="K447" s="37"/>
    </row>
    <row r="448" spans="11:11" x14ac:dyDescent="0.25">
      <c r="K448" s="37"/>
    </row>
    <row r="449" spans="11:11" x14ac:dyDescent="0.25">
      <c r="K449" s="37"/>
    </row>
    <row r="450" spans="11:11" x14ac:dyDescent="0.25">
      <c r="K450" s="37"/>
    </row>
    <row r="451" spans="11:11" x14ac:dyDescent="0.25">
      <c r="K451" s="37"/>
    </row>
    <row r="452" spans="11:11" x14ac:dyDescent="0.25">
      <c r="K452" s="37"/>
    </row>
    <row r="453" spans="11:11" x14ac:dyDescent="0.25">
      <c r="K453" s="37"/>
    </row>
    <row r="454" spans="11:11" x14ac:dyDescent="0.25">
      <c r="K454" s="37"/>
    </row>
    <row r="455" spans="11:11" x14ac:dyDescent="0.25">
      <c r="K455" s="37"/>
    </row>
    <row r="456" spans="11:11" x14ac:dyDescent="0.25">
      <c r="K456" s="37"/>
    </row>
    <row r="457" spans="11:11" x14ac:dyDescent="0.25">
      <c r="K457" s="37"/>
    </row>
    <row r="458" spans="11:11" x14ac:dyDescent="0.25">
      <c r="K458" s="37"/>
    </row>
    <row r="459" spans="11:11" x14ac:dyDescent="0.25">
      <c r="K459" s="37"/>
    </row>
    <row r="460" spans="11:11" x14ac:dyDescent="0.25">
      <c r="K460" s="37"/>
    </row>
    <row r="461" spans="11:11" x14ac:dyDescent="0.25">
      <c r="K461" s="37"/>
    </row>
    <row r="462" spans="11:11" x14ac:dyDescent="0.25">
      <c r="K462" s="37"/>
    </row>
    <row r="463" spans="11:11" x14ac:dyDescent="0.25">
      <c r="K463" s="37"/>
    </row>
    <row r="464" spans="11:11" x14ac:dyDescent="0.25">
      <c r="K464" s="37"/>
    </row>
    <row r="465" spans="11:11" x14ac:dyDescent="0.25">
      <c r="K465" s="37"/>
    </row>
    <row r="466" spans="11:11" x14ac:dyDescent="0.25">
      <c r="K466" s="37"/>
    </row>
    <row r="467" spans="11:11" x14ac:dyDescent="0.25">
      <c r="K467" s="37"/>
    </row>
    <row r="468" spans="11:11" x14ac:dyDescent="0.25">
      <c r="K468" s="37"/>
    </row>
    <row r="469" spans="11:11" x14ac:dyDescent="0.25">
      <c r="K469" s="37"/>
    </row>
    <row r="470" spans="11:11" x14ac:dyDescent="0.25">
      <c r="K470" s="37"/>
    </row>
    <row r="471" spans="11:11" x14ac:dyDescent="0.25">
      <c r="K471" s="37"/>
    </row>
    <row r="472" spans="11:11" x14ac:dyDescent="0.25">
      <c r="K472" s="37"/>
    </row>
    <row r="473" spans="11:11" x14ac:dyDescent="0.25">
      <c r="K473" s="37"/>
    </row>
    <row r="474" spans="11:11" x14ac:dyDescent="0.25">
      <c r="K474" s="37"/>
    </row>
    <row r="475" spans="11:11" x14ac:dyDescent="0.25">
      <c r="K475" s="37"/>
    </row>
    <row r="476" spans="11:11" x14ac:dyDescent="0.25">
      <c r="K476" s="37"/>
    </row>
    <row r="477" spans="11:11" x14ac:dyDescent="0.25">
      <c r="K477" s="37"/>
    </row>
    <row r="478" spans="11:11" x14ac:dyDescent="0.25">
      <c r="K478" s="37"/>
    </row>
    <row r="479" spans="11:11" x14ac:dyDescent="0.25">
      <c r="K479" s="37"/>
    </row>
    <row r="480" spans="11:11" x14ac:dyDescent="0.25">
      <c r="K480" s="37"/>
    </row>
    <row r="481" spans="11:11" x14ac:dyDescent="0.25">
      <c r="K481" s="37"/>
    </row>
    <row r="482" spans="11:11" x14ac:dyDescent="0.25">
      <c r="K482" s="37"/>
    </row>
    <row r="483" spans="11:11" x14ac:dyDescent="0.25">
      <c r="K483" s="37"/>
    </row>
    <row r="484" spans="11:11" x14ac:dyDescent="0.25">
      <c r="K484" s="37"/>
    </row>
    <row r="485" spans="11:11" x14ac:dyDescent="0.25">
      <c r="K485" s="37"/>
    </row>
    <row r="486" spans="11:11" x14ac:dyDescent="0.25">
      <c r="K486" s="37"/>
    </row>
    <row r="487" spans="11:11" x14ac:dyDescent="0.25">
      <c r="K487" s="37"/>
    </row>
    <row r="488" spans="11:11" x14ac:dyDescent="0.25">
      <c r="K488" s="37"/>
    </row>
    <row r="489" spans="11:11" x14ac:dyDescent="0.25">
      <c r="K489" s="37"/>
    </row>
    <row r="490" spans="11:11" x14ac:dyDescent="0.25">
      <c r="K490" s="37"/>
    </row>
    <row r="491" spans="11:11" x14ac:dyDescent="0.25">
      <c r="K491" s="37"/>
    </row>
    <row r="492" spans="11:11" x14ac:dyDescent="0.25">
      <c r="K492" s="37"/>
    </row>
    <row r="493" spans="11:11" x14ac:dyDescent="0.25">
      <c r="K493" s="37"/>
    </row>
    <row r="494" spans="11:11" x14ac:dyDescent="0.25">
      <c r="K494" s="37"/>
    </row>
    <row r="495" spans="11:11" x14ac:dyDescent="0.25">
      <c r="K495" s="37"/>
    </row>
    <row r="496" spans="11:11" x14ac:dyDescent="0.25">
      <c r="K496" s="37"/>
    </row>
    <row r="497" spans="11:11" x14ac:dyDescent="0.25">
      <c r="K497" s="37"/>
    </row>
    <row r="498" spans="11:11" x14ac:dyDescent="0.25">
      <c r="K498" s="37"/>
    </row>
    <row r="499" spans="11:11" x14ac:dyDescent="0.25">
      <c r="K499" s="37"/>
    </row>
    <row r="500" spans="11:11" x14ac:dyDescent="0.25">
      <c r="K500" s="37"/>
    </row>
    <row r="501" spans="11:11" x14ac:dyDescent="0.25">
      <c r="K501" s="37"/>
    </row>
    <row r="502" spans="11:11" x14ac:dyDescent="0.25">
      <c r="K502" s="37"/>
    </row>
    <row r="503" spans="11:11" x14ac:dyDescent="0.25">
      <c r="K503" s="37"/>
    </row>
    <row r="504" spans="11:11" x14ac:dyDescent="0.25">
      <c r="K504" s="37"/>
    </row>
    <row r="505" spans="11:11" x14ac:dyDescent="0.25">
      <c r="K505" s="37"/>
    </row>
    <row r="506" spans="11:11" x14ac:dyDescent="0.25">
      <c r="K506" s="37"/>
    </row>
    <row r="507" spans="11:11" x14ac:dyDescent="0.25">
      <c r="K507" s="37"/>
    </row>
    <row r="508" spans="11:11" x14ac:dyDescent="0.25">
      <c r="K508" s="37"/>
    </row>
    <row r="509" spans="11:11" x14ac:dyDescent="0.25">
      <c r="K509" s="37"/>
    </row>
    <row r="510" spans="11:11" x14ac:dyDescent="0.25">
      <c r="K510" s="37"/>
    </row>
    <row r="511" spans="11:11" x14ac:dyDescent="0.25">
      <c r="K511" s="37"/>
    </row>
    <row r="512" spans="11:11" x14ac:dyDescent="0.25">
      <c r="K512" s="37"/>
    </row>
    <row r="513" spans="11:11" x14ac:dyDescent="0.25">
      <c r="K513" s="37"/>
    </row>
    <row r="514" spans="11:11" x14ac:dyDescent="0.25">
      <c r="K514" s="37"/>
    </row>
    <row r="515" spans="11:11" x14ac:dyDescent="0.25">
      <c r="K515" s="37"/>
    </row>
    <row r="516" spans="11:11" x14ac:dyDescent="0.25">
      <c r="K516" s="37"/>
    </row>
    <row r="517" spans="11:11" x14ac:dyDescent="0.25">
      <c r="K517" s="37"/>
    </row>
    <row r="518" spans="11:11" x14ac:dyDescent="0.25">
      <c r="K518" s="37"/>
    </row>
    <row r="519" spans="11:11" x14ac:dyDescent="0.25">
      <c r="K519" s="37"/>
    </row>
    <row r="520" spans="11:11" x14ac:dyDescent="0.25">
      <c r="K520" s="37"/>
    </row>
    <row r="521" spans="11:11" x14ac:dyDescent="0.25">
      <c r="K521" s="37"/>
    </row>
    <row r="522" spans="11:11" x14ac:dyDescent="0.25">
      <c r="K522" s="37"/>
    </row>
    <row r="523" spans="11:11" x14ac:dyDescent="0.25">
      <c r="K523" s="37"/>
    </row>
    <row r="524" spans="11:11" x14ac:dyDescent="0.25">
      <c r="K524" s="37"/>
    </row>
    <row r="525" spans="11:11" x14ac:dyDescent="0.25">
      <c r="K525" s="37"/>
    </row>
    <row r="526" spans="11:11" x14ac:dyDescent="0.25">
      <c r="K526" s="37"/>
    </row>
    <row r="527" spans="11:11" x14ac:dyDescent="0.25">
      <c r="K527" s="37"/>
    </row>
    <row r="528" spans="11:11" x14ac:dyDescent="0.25">
      <c r="K528" s="37"/>
    </row>
    <row r="529" spans="11:11" x14ac:dyDescent="0.25">
      <c r="K529" s="37"/>
    </row>
    <row r="530" spans="11:11" x14ac:dyDescent="0.25">
      <c r="K530" s="37"/>
    </row>
    <row r="531" spans="11:11" x14ac:dyDescent="0.25">
      <c r="K531" s="37"/>
    </row>
    <row r="532" spans="11:11" x14ac:dyDescent="0.25">
      <c r="K532" s="37"/>
    </row>
    <row r="533" spans="11:11" x14ac:dyDescent="0.25">
      <c r="K533" s="37"/>
    </row>
    <row r="534" spans="11:11" x14ac:dyDescent="0.25">
      <c r="K534" s="37"/>
    </row>
    <row r="535" spans="11:11" x14ac:dyDescent="0.25">
      <c r="K535" s="37"/>
    </row>
    <row r="536" spans="11:11" x14ac:dyDescent="0.25">
      <c r="K536" s="37"/>
    </row>
    <row r="537" spans="11:11" x14ac:dyDescent="0.25">
      <c r="K537" s="37"/>
    </row>
    <row r="538" spans="11:11" x14ac:dyDescent="0.25">
      <c r="K538" s="37"/>
    </row>
    <row r="539" spans="11:11" x14ac:dyDescent="0.25">
      <c r="K539" s="37"/>
    </row>
    <row r="540" spans="11:11" x14ac:dyDescent="0.25">
      <c r="K540" s="37"/>
    </row>
    <row r="541" spans="11:11" x14ac:dyDescent="0.25">
      <c r="K541" s="37"/>
    </row>
    <row r="542" spans="11:11" x14ac:dyDescent="0.25">
      <c r="K542" s="37"/>
    </row>
    <row r="543" spans="11:11" x14ac:dyDescent="0.25">
      <c r="K543" s="37"/>
    </row>
    <row r="544" spans="11:11" x14ac:dyDescent="0.25">
      <c r="K544" s="37"/>
    </row>
    <row r="545" spans="11:11" x14ac:dyDescent="0.25">
      <c r="K545" s="37"/>
    </row>
    <row r="546" spans="11:11" x14ac:dyDescent="0.25">
      <c r="K546" s="37"/>
    </row>
    <row r="547" spans="11:11" x14ac:dyDescent="0.25">
      <c r="K547" s="37"/>
    </row>
    <row r="548" spans="11:11" x14ac:dyDescent="0.25">
      <c r="K548" s="37"/>
    </row>
    <row r="549" spans="11:11" x14ac:dyDescent="0.25">
      <c r="K549" s="37"/>
    </row>
    <row r="550" spans="11:11" x14ac:dyDescent="0.25">
      <c r="K550" s="37"/>
    </row>
    <row r="551" spans="11:11" x14ac:dyDescent="0.25">
      <c r="K551" s="37"/>
    </row>
    <row r="552" spans="11:11" x14ac:dyDescent="0.25">
      <c r="K552" s="37"/>
    </row>
    <row r="553" spans="11:11" x14ac:dyDescent="0.25">
      <c r="K553" s="37"/>
    </row>
    <row r="554" spans="11:11" x14ac:dyDescent="0.25">
      <c r="K554" s="37"/>
    </row>
    <row r="555" spans="11:11" x14ac:dyDescent="0.25">
      <c r="K555" s="37"/>
    </row>
    <row r="556" spans="11:11" x14ac:dyDescent="0.25">
      <c r="K556" s="37"/>
    </row>
    <row r="557" spans="11:11" x14ac:dyDescent="0.25">
      <c r="K557" s="37"/>
    </row>
    <row r="558" spans="11:11" x14ac:dyDescent="0.25">
      <c r="K558" s="37"/>
    </row>
    <row r="559" spans="11:11" x14ac:dyDescent="0.25">
      <c r="K559" s="37"/>
    </row>
    <row r="560" spans="11:11" x14ac:dyDescent="0.25">
      <c r="K560" s="37"/>
    </row>
    <row r="561" spans="11:11" x14ac:dyDescent="0.25">
      <c r="K561" s="37"/>
    </row>
    <row r="562" spans="11:11" x14ac:dyDescent="0.25">
      <c r="K562" s="37"/>
    </row>
    <row r="563" spans="11:11" x14ac:dyDescent="0.25">
      <c r="K563" s="37"/>
    </row>
    <row r="564" spans="11:11" x14ac:dyDescent="0.25">
      <c r="K564" s="37"/>
    </row>
    <row r="565" spans="11:11" x14ac:dyDescent="0.25">
      <c r="K565" s="37"/>
    </row>
    <row r="566" spans="11:11" x14ac:dyDescent="0.25">
      <c r="K566" s="37"/>
    </row>
    <row r="567" spans="11:11" x14ac:dyDescent="0.25">
      <c r="K567" s="37"/>
    </row>
    <row r="568" spans="11:11" x14ac:dyDescent="0.25">
      <c r="K568" s="37"/>
    </row>
    <row r="569" spans="11:11" x14ac:dyDescent="0.25">
      <c r="K569" s="37"/>
    </row>
    <row r="570" spans="11:11" x14ac:dyDescent="0.25">
      <c r="K570" s="37"/>
    </row>
    <row r="571" spans="11:11" x14ac:dyDescent="0.25">
      <c r="K571" s="37"/>
    </row>
    <row r="572" spans="11:11" x14ac:dyDescent="0.25">
      <c r="K572" s="37"/>
    </row>
    <row r="573" spans="11:11" x14ac:dyDescent="0.25">
      <c r="K573" s="37"/>
    </row>
    <row r="574" spans="11:11" x14ac:dyDescent="0.25">
      <c r="K574" s="37"/>
    </row>
    <row r="575" spans="11:11" x14ac:dyDescent="0.25">
      <c r="K575" s="37"/>
    </row>
    <row r="576" spans="11:11" x14ac:dyDescent="0.25">
      <c r="K576" s="37"/>
    </row>
    <row r="577" spans="11:11" x14ac:dyDescent="0.25">
      <c r="K577" s="37"/>
    </row>
    <row r="578" spans="11:11" x14ac:dyDescent="0.25">
      <c r="K578" s="37"/>
    </row>
    <row r="579" spans="11:11" x14ac:dyDescent="0.25">
      <c r="K579" s="37"/>
    </row>
    <row r="580" spans="11:11" x14ac:dyDescent="0.25">
      <c r="K580" s="37"/>
    </row>
    <row r="581" spans="11:11" x14ac:dyDescent="0.25">
      <c r="K581" s="37"/>
    </row>
    <row r="582" spans="11:11" x14ac:dyDescent="0.25">
      <c r="K582" s="37"/>
    </row>
    <row r="583" spans="11:11" x14ac:dyDescent="0.25">
      <c r="K583" s="37"/>
    </row>
    <row r="584" spans="11:11" x14ac:dyDescent="0.25">
      <c r="K584" s="37"/>
    </row>
    <row r="585" spans="11:11" x14ac:dyDescent="0.25">
      <c r="K585" s="37"/>
    </row>
    <row r="586" spans="11:11" x14ac:dyDescent="0.25">
      <c r="K586" s="37"/>
    </row>
    <row r="587" spans="11:11" x14ac:dyDescent="0.25">
      <c r="K587" s="37"/>
    </row>
  </sheetData>
  <mergeCells count="4">
    <mergeCell ref="J2:K2"/>
    <mergeCell ref="D32:F32"/>
    <mergeCell ref="D34:E34"/>
    <mergeCell ref="D36:F36"/>
  </mergeCells>
  <pageMargins left="0.78740157499999996" right="0.78740157499999996" top="0.984251969" bottom="0.984251969" header="0.3" footer="0.3"/>
  <pageSetup paperSize="9" scale="50" orientation="portrait" horizontalDpi="1200" verticalDpi="1200" r:id="rId1"/>
  <headerFooter alignWithMargins="0"/>
  <ignoredErrors>
    <ignoredError sqref="G20 G27" formula="1"/>
  </ignoredError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'Sous détail de prix '!$A:$A</xm:f>
          </x14:formula1>
          <xm:sqref>A18:A34</xm:sqref>
        </x14:dataValidation>
        <x14:dataValidation type="list" allowBlank="1" showInputMessage="1" showErrorMessage="1" errorTitle="Erreur saisie" error="Code non valide_x000a_Entrer un code présent dans les ressources">
          <x14:formula1>
            <xm:f>'Sous détail de prix '!$A:$A</xm:f>
          </x14:formula1>
          <xm:sqref>A17</xm:sqref>
        </x14:dataValidation>
        <x14:dataValidation type="list" allowBlank="1" showInputMessage="1" showErrorMessage="1">
          <x14:formula1>
            <xm:f>'Paramètrage ressources'!$A:$A</xm:f>
          </x14:formula1>
          <xm:sqref>B17:B34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9"/>
  <sheetViews>
    <sheetView workbookViewId="0">
      <selection activeCell="E11" sqref="E11"/>
    </sheetView>
  </sheetViews>
  <sheetFormatPr baseColWidth="10" defaultColWidth="9" defaultRowHeight="15.75" x14ac:dyDescent="0.25"/>
  <cols>
    <col min="1" max="1" width="22.625" style="1" customWidth="1"/>
    <col min="2" max="2" width="26.375" style="1" customWidth="1"/>
    <col min="3" max="3" width="17.25" style="1" customWidth="1"/>
    <col min="4" max="4" width="11" customWidth="1"/>
    <col min="5" max="5" width="22.375" customWidth="1"/>
    <col min="6" max="6" width="25" customWidth="1"/>
    <col min="7" max="256" width="11" customWidth="1"/>
  </cols>
  <sheetData>
    <row r="1" spans="1:6" ht="16.5" thickBot="1" x14ac:dyDescent="0.3"/>
    <row r="2" spans="1:6" s="18" customFormat="1" ht="27.95" customHeight="1" thickBot="1" x14ac:dyDescent="0.3">
      <c r="A2" s="49" t="s">
        <v>313</v>
      </c>
      <c r="B2" s="50"/>
      <c r="C2" s="17"/>
      <c r="E2" s="49" t="s">
        <v>314</v>
      </c>
      <c r="F2" s="50"/>
    </row>
    <row r="3" spans="1:6" s="9" customFormat="1" ht="33" customHeight="1" x14ac:dyDescent="0.25">
      <c r="A3" s="15" t="s">
        <v>315</v>
      </c>
      <c r="B3" s="95">
        <f>Etude!G32</f>
        <v>30820.156908944293</v>
      </c>
      <c r="C3" s="8"/>
      <c r="E3" s="15" t="s">
        <v>317</v>
      </c>
      <c r="F3" s="15" t="s">
        <v>316</v>
      </c>
    </row>
    <row r="4" spans="1:6" s="9" customFormat="1" ht="33" customHeight="1" x14ac:dyDescent="0.25">
      <c r="A4" s="11" t="s">
        <v>318</v>
      </c>
      <c r="B4" s="96">
        <f>Etude!G34</f>
        <v>6164.0313817888591</v>
      </c>
      <c r="C4" s="8"/>
      <c r="E4" s="11" t="s">
        <v>318</v>
      </c>
      <c r="F4" s="11" t="s">
        <v>316</v>
      </c>
    </row>
    <row r="5" spans="1:6" s="9" customFormat="1" ht="33" customHeight="1" x14ac:dyDescent="0.25">
      <c r="A5" s="11" t="s">
        <v>319</v>
      </c>
      <c r="B5" s="96">
        <f>Etude!G36</f>
        <v>36984.188290733153</v>
      </c>
      <c r="C5" s="8"/>
      <c r="E5" s="11" t="s">
        <v>319</v>
      </c>
      <c r="F5" s="11" t="s">
        <v>316</v>
      </c>
    </row>
    <row r="6" spans="1:6" ht="16.5" thickBot="1" x14ac:dyDescent="0.3"/>
    <row r="7" spans="1:6" s="9" customFormat="1" ht="26.1" customHeight="1" thickBot="1" x14ac:dyDescent="0.3">
      <c r="A7" s="46" t="s">
        <v>320</v>
      </c>
      <c r="B7" s="47"/>
      <c r="C7" s="48"/>
    </row>
    <row r="8" spans="1:6" s="9" customFormat="1" ht="26.1" customHeight="1" x14ac:dyDescent="0.25">
      <c r="A8" s="15" t="s">
        <v>321</v>
      </c>
      <c r="B8" s="15" t="s">
        <v>316</v>
      </c>
      <c r="C8" s="15" t="s">
        <v>322</v>
      </c>
    </row>
    <row r="9" spans="1:6" s="9" customFormat="1" ht="26.1" customHeight="1" x14ac:dyDescent="0.25">
      <c r="A9" s="11" t="s">
        <v>323</v>
      </c>
      <c r="B9" s="11" t="s">
        <v>316</v>
      </c>
      <c r="C9" s="8"/>
    </row>
    <row r="10" spans="1:6" s="9" customFormat="1" ht="26.1" customHeight="1" x14ac:dyDescent="0.25">
      <c r="A10" s="11" t="s">
        <v>324</v>
      </c>
      <c r="B10" s="11" t="s">
        <v>316</v>
      </c>
      <c r="C10" s="8"/>
    </row>
    <row r="11" spans="1:6" x14ac:dyDescent="0.25">
      <c r="A11" s="11" t="s">
        <v>16</v>
      </c>
      <c r="B11" s="11" t="s">
        <v>316</v>
      </c>
      <c r="C11" s="8"/>
    </row>
    <row r="13" spans="1:6" ht="16.5" thickBot="1" x14ac:dyDescent="0.3">
      <c r="B13" s="16"/>
    </row>
    <row r="14" spans="1:6" ht="33" customHeight="1" thickBot="1" x14ac:dyDescent="0.3">
      <c r="A14" s="46" t="s">
        <v>325</v>
      </c>
      <c r="B14" s="48"/>
    </row>
    <row r="15" spans="1:6" ht="23.1" customHeight="1" x14ac:dyDescent="0.25">
      <c r="A15" s="3" t="s">
        <v>326</v>
      </c>
      <c r="B15" s="15" t="s">
        <v>316</v>
      </c>
    </row>
    <row r="16" spans="1:6" ht="23.1" customHeight="1" x14ac:dyDescent="0.25">
      <c r="A16" s="2" t="s">
        <v>327</v>
      </c>
      <c r="B16" s="15" t="s">
        <v>316</v>
      </c>
    </row>
    <row r="17" spans="1:2" ht="23.1" customHeight="1" x14ac:dyDescent="0.25">
      <c r="A17" s="2" t="s">
        <v>328</v>
      </c>
      <c r="B17" s="15" t="s">
        <v>316</v>
      </c>
    </row>
    <row r="18" spans="1:2" ht="23.1" customHeight="1" x14ac:dyDescent="0.25">
      <c r="A18" s="2" t="s">
        <v>329</v>
      </c>
      <c r="B18" s="15" t="s">
        <v>316</v>
      </c>
    </row>
    <row r="19" spans="1:2" x14ac:dyDescent="0.25">
      <c r="A19" s="2" t="s">
        <v>16</v>
      </c>
      <c r="B19" s="15" t="s">
        <v>316</v>
      </c>
    </row>
  </sheetData>
  <mergeCells count="4">
    <mergeCell ref="A7:C7"/>
    <mergeCell ref="A14:B14"/>
    <mergeCell ref="A2:B2"/>
    <mergeCell ref="E2:F2"/>
  </mergeCells>
  <pageMargins left="0.78740157499999996" right="0.78740157499999996" top="0.984251969" bottom="0.984251969" header="0.3" footer="0.3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"/>
  <sheetViews>
    <sheetView workbookViewId="0">
      <selection activeCell="E13" sqref="E13"/>
    </sheetView>
  </sheetViews>
  <sheetFormatPr baseColWidth="10" defaultColWidth="9" defaultRowHeight="15.75" x14ac:dyDescent="0.25"/>
  <cols>
    <col min="1" max="1" width="11.625" customWidth="1"/>
    <col min="2" max="2" width="16.5" customWidth="1"/>
    <col min="3" max="3" width="15.125" customWidth="1"/>
    <col min="4" max="4" width="38.625" customWidth="1"/>
    <col min="5" max="6" width="11" customWidth="1"/>
    <col min="7" max="7" width="11.5" customWidth="1"/>
    <col min="8" max="8" width="20.875" customWidth="1"/>
    <col min="9" max="9" width="30.125" customWidth="1"/>
    <col min="10" max="256" width="11" customWidth="1"/>
  </cols>
  <sheetData>
    <row r="1" spans="1:9" ht="16.5" thickBot="1" x14ac:dyDescent="0.3">
      <c r="A1" s="4" t="s">
        <v>27</v>
      </c>
      <c r="B1" s="5" t="s">
        <v>28</v>
      </c>
      <c r="C1" s="5" t="s">
        <v>2</v>
      </c>
      <c r="D1" s="5" t="s">
        <v>29</v>
      </c>
      <c r="E1" s="5" t="s">
        <v>1</v>
      </c>
      <c r="F1" s="5" t="s">
        <v>295</v>
      </c>
      <c r="G1" s="5" t="s">
        <v>30</v>
      </c>
      <c r="H1" s="5" t="s">
        <v>3</v>
      </c>
      <c r="I1" s="6" t="s">
        <v>32</v>
      </c>
    </row>
  </sheetData>
  <dataConsolidate/>
  <pageMargins left="0.78740157499999996" right="0.78740157499999996" top="0.984251969" bottom="0.984251969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Paramètrage ressources</vt:lpstr>
      <vt:lpstr>Coefs de Vente</vt:lpstr>
      <vt:lpstr>Ressources</vt:lpstr>
      <vt:lpstr>Sous détail de prix </vt:lpstr>
      <vt:lpstr>Etude</vt:lpstr>
      <vt:lpstr>Analyse d'étude</vt:lpstr>
      <vt:lpstr>Ressources utilisées</vt:lpstr>
      <vt:lpstr>Etude!Zone_d_impression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/>
  <dc:description/>
  <cp:lastModifiedBy>PC Travail Ian</cp:lastModifiedBy>
  <cp:revision/>
  <cp:lastPrinted>2018-10-10T22:18:26Z</cp:lastPrinted>
  <dcterms:created xsi:type="dcterms:W3CDTF">2018-10-06T09:44:18Z</dcterms:created>
  <dcterms:modified xsi:type="dcterms:W3CDTF">2018-10-10T22:46:26Z</dcterms:modified>
  <cp:category/>
  <cp:contentStatus/>
</cp:coreProperties>
</file>