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edin_bertrand.RESSOURCES\TDF SAS\Audits et Qualité - ANFI\08_Recette en cours\03-Transport\"/>
    </mc:Choice>
  </mc:AlternateContent>
  <xr:revisionPtr revIDLastSave="456" documentId="13_ncr:1_{E4DC1CD4-09AD-4BD9-B0F6-C91962B116B2}" xr6:coauthVersionLast="41" xr6:coauthVersionMax="41" xr10:uidLastSave="{B536230A-6CB8-4C33-A97D-543793E0C8DA}"/>
  <bookViews>
    <workbookView xWindow="-108" yWindow="-108" windowWidth="23256" windowHeight="12720" tabRatio="596" activeTab="5" xr2:uid="{91F0BE89-A4CA-46A0-8B54-9535DB51B275}"/>
  </bookViews>
  <sheets>
    <sheet name="Réflecto" sheetId="27" r:id="rId1"/>
    <sheet name="Méca" sheetId="32" r:id="rId2"/>
    <sheet name="Panier" sheetId="28" r:id="rId3"/>
    <sheet name="Graphique" sheetId="29" r:id="rId4"/>
    <sheet name="Feuil4" sheetId="30" r:id="rId5"/>
    <sheet name="REPORTING" sheetId="31" r:id="rId6"/>
  </sheets>
  <functionGroups builtInGroupCount="19"/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99" i="27" l="1"/>
  <c r="H399" i="27"/>
  <c r="D398" i="27"/>
  <c r="L4" i="27"/>
  <c r="L6" i="27"/>
  <c r="L9" i="27"/>
  <c r="L397" i="27"/>
  <c r="L396" i="27"/>
  <c r="L395" i="27"/>
  <c r="L394" i="27"/>
  <c r="L393" i="27"/>
  <c r="L389" i="27"/>
  <c r="L387" i="27"/>
  <c r="L386" i="27"/>
  <c r="L385" i="27"/>
  <c r="L384" i="27"/>
  <c r="L383" i="27"/>
  <c r="L373" i="27"/>
  <c r="L365" i="27"/>
  <c r="L364" i="27"/>
  <c r="L363" i="27"/>
  <c r="L362" i="27"/>
  <c r="L341" i="27"/>
  <c r="L340" i="27"/>
  <c r="L339" i="27"/>
  <c r="L337" i="27"/>
  <c r="L332" i="27"/>
  <c r="L331" i="27"/>
  <c r="L330" i="27"/>
  <c r="L327" i="27"/>
  <c r="L326" i="27"/>
  <c r="L324" i="27"/>
  <c r="L323" i="27"/>
  <c r="L322" i="27"/>
  <c r="L320" i="27"/>
  <c r="L319" i="27"/>
  <c r="L317" i="27"/>
  <c r="L316" i="27"/>
  <c r="L315" i="27"/>
  <c r="L313" i="27"/>
  <c r="L306" i="27"/>
  <c r="L302" i="27"/>
  <c r="L301" i="27"/>
  <c r="L300" i="27"/>
  <c r="L299" i="27"/>
  <c r="L297" i="27"/>
  <c r="L294" i="27"/>
  <c r="L293" i="27"/>
  <c r="L292" i="27"/>
  <c r="L289" i="27"/>
  <c r="L288" i="27"/>
  <c r="L287" i="27"/>
  <c r="L286" i="27"/>
  <c r="L285" i="27"/>
  <c r="L284" i="27"/>
  <c r="L283" i="27"/>
  <c r="L282" i="27"/>
  <c r="L281" i="27"/>
  <c r="L280" i="27"/>
  <c r="L279" i="27"/>
  <c r="L278" i="27"/>
  <c r="L277" i="27"/>
  <c r="L276" i="27"/>
  <c r="L275" i="27"/>
  <c r="L274" i="27"/>
  <c r="L273" i="27"/>
  <c r="L268" i="27"/>
  <c r="L266" i="27"/>
  <c r="L265" i="27"/>
  <c r="L264" i="27"/>
  <c r="L257" i="27"/>
  <c r="L256" i="27"/>
  <c r="L255" i="27"/>
  <c r="L254" i="27"/>
  <c r="L252" i="27"/>
  <c r="L249" i="27"/>
  <c r="L240" i="27"/>
  <c r="L239" i="27"/>
  <c r="L238" i="27"/>
  <c r="L237" i="27"/>
  <c r="L236" i="27"/>
  <c r="L235" i="27"/>
  <c r="L234" i="27"/>
  <c r="L233" i="27"/>
  <c r="L232" i="27"/>
  <c r="L231" i="27"/>
  <c r="L230" i="27"/>
  <c r="L229" i="27"/>
  <c r="L228" i="27"/>
  <c r="L227" i="27"/>
  <c r="L226" i="27"/>
  <c r="L225" i="27"/>
  <c r="L224" i="27"/>
  <c r="L223" i="27"/>
  <c r="L222" i="27"/>
  <c r="L221" i="27"/>
  <c r="L220" i="27"/>
  <c r="L217" i="27"/>
  <c r="L216" i="27"/>
  <c r="L215" i="27"/>
  <c r="L214" i="27"/>
  <c r="L213" i="27"/>
  <c r="L212" i="27"/>
  <c r="L211" i="27"/>
  <c r="L210" i="27"/>
  <c r="L209" i="27"/>
  <c r="L208" i="27"/>
  <c r="L207" i="27"/>
  <c r="L206" i="27"/>
  <c r="L205" i="27"/>
  <c r="L197" i="27"/>
  <c r="L196" i="27"/>
  <c r="L190" i="27"/>
  <c r="L188" i="27"/>
  <c r="L187" i="27"/>
  <c r="L186" i="27"/>
  <c r="L185" i="27"/>
  <c r="L177" i="27"/>
  <c r="L176" i="27"/>
  <c r="L175" i="27"/>
  <c r="L174" i="27"/>
  <c r="L173" i="27"/>
  <c r="L162" i="27"/>
  <c r="L152" i="27"/>
  <c r="L151" i="27"/>
  <c r="L150" i="27"/>
  <c r="L149" i="27"/>
  <c r="L148" i="27"/>
  <c r="L147" i="27"/>
  <c r="L146" i="27"/>
  <c r="L145" i="27"/>
  <c r="L144" i="27"/>
  <c r="L143" i="27"/>
  <c r="L142" i="27"/>
  <c r="L141" i="27"/>
  <c r="L140" i="27"/>
  <c r="L138" i="27"/>
  <c r="L136" i="27"/>
  <c r="L135" i="27"/>
  <c r="L134" i="27"/>
  <c r="L133" i="27"/>
  <c r="L132" i="27"/>
  <c r="L131" i="27"/>
  <c r="L106" i="27"/>
  <c r="L101" i="27"/>
  <c r="L100" i="27"/>
  <c r="L99" i="27"/>
  <c r="L98" i="27"/>
  <c r="L97" i="27"/>
  <c r="L96" i="27"/>
  <c r="L95" i="27"/>
  <c r="L94" i="27"/>
  <c r="L93" i="27"/>
  <c r="L92" i="27"/>
  <c r="L91" i="27"/>
  <c r="L89" i="27"/>
  <c r="L88" i="27"/>
  <c r="L87" i="27"/>
  <c r="L86" i="27"/>
  <c r="L76" i="27"/>
  <c r="L66" i="27"/>
  <c r="L65" i="27"/>
  <c r="L63" i="27"/>
  <c r="L59" i="27"/>
  <c r="L57" i="27"/>
  <c r="L54" i="27"/>
  <c r="L53" i="27"/>
  <c r="L50" i="27"/>
  <c r="L48" i="27"/>
  <c r="L47" i="27"/>
  <c r="L44" i="27"/>
  <c r="L43" i="27"/>
  <c r="L42" i="27"/>
  <c r="L18" i="27"/>
  <c r="L17" i="27"/>
  <c r="L16" i="27"/>
  <c r="L15" i="27"/>
  <c r="J395" i="27"/>
  <c r="K395" i="27"/>
  <c r="P395" i="27"/>
  <c r="Q395" i="27"/>
  <c r="S395" i="27"/>
  <c r="U395" i="27" s="1"/>
  <c r="T395" i="27"/>
  <c r="W395" i="27"/>
  <c r="X395" i="27"/>
  <c r="Z395" i="27"/>
  <c r="AA395" i="27"/>
  <c r="AE395" i="27"/>
  <c r="J396" i="27"/>
  <c r="K396" i="27"/>
  <c r="P396" i="27"/>
  <c r="Q396" i="27"/>
  <c r="S396" i="27"/>
  <c r="T396" i="27"/>
  <c r="U396" i="27"/>
  <c r="W396" i="27"/>
  <c r="X396" i="27"/>
  <c r="Z396" i="27"/>
  <c r="AA396" i="27"/>
  <c r="AE396" i="27"/>
  <c r="J393" i="27"/>
  <c r="K393" i="27"/>
  <c r="P393" i="27"/>
  <c r="Q393" i="27"/>
  <c r="S393" i="27"/>
  <c r="U393" i="27" s="1"/>
  <c r="T393" i="27"/>
  <c r="W393" i="27"/>
  <c r="X393" i="27"/>
  <c r="Z393" i="27"/>
  <c r="AA393" i="27"/>
  <c r="AE393" i="27"/>
  <c r="J394" i="27"/>
  <c r="K394" i="27"/>
  <c r="P394" i="27"/>
  <c r="Q394" i="27"/>
  <c r="S394" i="27"/>
  <c r="T394" i="27"/>
  <c r="U394" i="27"/>
  <c r="W394" i="27"/>
  <c r="X394" i="27"/>
  <c r="Z394" i="27"/>
  <c r="AA394" i="27"/>
  <c r="AE394" i="27"/>
  <c r="J397" i="27"/>
  <c r="K397" i="27"/>
  <c r="P397" i="27"/>
  <c r="Q397" i="27"/>
  <c r="S397" i="27"/>
  <c r="U397" i="27" s="1"/>
  <c r="T397" i="27"/>
  <c r="W397" i="27"/>
  <c r="X397" i="27"/>
  <c r="Z397" i="27"/>
  <c r="AA397" i="27"/>
  <c r="AE397" i="27"/>
  <c r="J389" i="27"/>
  <c r="K389" i="27"/>
  <c r="P389" i="27"/>
  <c r="Q389" i="27"/>
  <c r="S389" i="27"/>
  <c r="U389" i="27" s="1"/>
  <c r="T389" i="27"/>
  <c r="W389" i="27"/>
  <c r="X389" i="27"/>
  <c r="Z389" i="27"/>
  <c r="AA389" i="27"/>
  <c r="AE389" i="27"/>
  <c r="J387" i="27"/>
  <c r="K387" i="27"/>
  <c r="P387" i="27"/>
  <c r="Q387" i="27"/>
  <c r="S387" i="27"/>
  <c r="U387" i="27" s="1"/>
  <c r="T387" i="27"/>
  <c r="W387" i="27"/>
  <c r="X387" i="27"/>
  <c r="Z387" i="27"/>
  <c r="AA387" i="27"/>
  <c r="AE387" i="27"/>
  <c r="J386" i="27"/>
  <c r="K386" i="27"/>
  <c r="P386" i="27"/>
  <c r="Q386" i="27"/>
  <c r="S386" i="27"/>
  <c r="T386" i="27"/>
  <c r="U386" i="27"/>
  <c r="W386" i="27"/>
  <c r="X386" i="27"/>
  <c r="Z386" i="27"/>
  <c r="AA386" i="27"/>
  <c r="AE386" i="27"/>
  <c r="J385" i="27"/>
  <c r="K385" i="27"/>
  <c r="P385" i="27"/>
  <c r="Q385" i="27"/>
  <c r="S385" i="27"/>
  <c r="U385" i="27" s="1"/>
  <c r="T385" i="27"/>
  <c r="W385" i="27"/>
  <c r="X385" i="27"/>
  <c r="Z385" i="27"/>
  <c r="AA385" i="27"/>
  <c r="AE385" i="27"/>
  <c r="J384" i="27"/>
  <c r="K384" i="27"/>
  <c r="P384" i="27"/>
  <c r="Q384" i="27"/>
  <c r="S384" i="27"/>
  <c r="U384" i="27" s="1"/>
  <c r="T384" i="27"/>
  <c r="W384" i="27"/>
  <c r="X384" i="27"/>
  <c r="Z384" i="27"/>
  <c r="AA384" i="27"/>
  <c r="AE384" i="27"/>
  <c r="J383" i="27"/>
  <c r="K383" i="27"/>
  <c r="P383" i="27"/>
  <c r="Q383" i="27"/>
  <c r="S383" i="27"/>
  <c r="U383" i="27" s="1"/>
  <c r="W383" i="27"/>
  <c r="X383" i="27"/>
  <c r="Z383" i="27"/>
  <c r="AA383" i="27"/>
  <c r="AE383" i="27"/>
  <c r="J373" i="27"/>
  <c r="K373" i="27"/>
  <c r="P373" i="27"/>
  <c r="Q373" i="27"/>
  <c r="S373" i="27"/>
  <c r="U373" i="27" s="1"/>
  <c r="W373" i="27"/>
  <c r="X373" i="27"/>
  <c r="Z373" i="27"/>
  <c r="AA373" i="27"/>
  <c r="AE373" i="27"/>
  <c r="J363" i="27"/>
  <c r="K363" i="27"/>
  <c r="P363" i="27"/>
  <c r="Q363" i="27"/>
  <c r="S363" i="27"/>
  <c r="U363" i="27" s="1"/>
  <c r="W363" i="27"/>
  <c r="X363" i="27"/>
  <c r="Z363" i="27"/>
  <c r="AA363" i="27"/>
  <c r="AE363" i="27"/>
  <c r="J362" i="27"/>
  <c r="K362" i="27"/>
  <c r="P362" i="27"/>
  <c r="Q362" i="27"/>
  <c r="S362" i="27"/>
  <c r="T362" i="27" s="1"/>
  <c r="W362" i="27"/>
  <c r="X362" i="27"/>
  <c r="Z362" i="27"/>
  <c r="AA362" i="27"/>
  <c r="AE362" i="27"/>
  <c r="J341" i="27"/>
  <c r="K341" i="27"/>
  <c r="P341" i="27"/>
  <c r="Q341" i="27"/>
  <c r="S341" i="27"/>
  <c r="U341" i="27" s="1"/>
  <c r="T341" i="27"/>
  <c r="W341" i="27"/>
  <c r="X341" i="27"/>
  <c r="Z341" i="27"/>
  <c r="AA341" i="27"/>
  <c r="AE341" i="27"/>
  <c r="J340" i="27"/>
  <c r="K340" i="27"/>
  <c r="P340" i="27"/>
  <c r="Q340" i="27"/>
  <c r="S340" i="27"/>
  <c r="U340" i="27" s="1"/>
  <c r="W340" i="27"/>
  <c r="X340" i="27"/>
  <c r="Z340" i="27"/>
  <c r="AA340" i="27"/>
  <c r="AE340" i="27"/>
  <c r="J339" i="27"/>
  <c r="K339" i="27"/>
  <c r="P339" i="27"/>
  <c r="Q339" i="27"/>
  <c r="S339" i="27"/>
  <c r="U339" i="27" s="1"/>
  <c r="W339" i="27"/>
  <c r="X339" i="27"/>
  <c r="Z339" i="27"/>
  <c r="AA339" i="27"/>
  <c r="AE339" i="27"/>
  <c r="J337" i="27"/>
  <c r="K337" i="27"/>
  <c r="P337" i="27"/>
  <c r="Q337" i="27"/>
  <c r="S337" i="27"/>
  <c r="U337" i="27" s="1"/>
  <c r="W337" i="27"/>
  <c r="X337" i="27"/>
  <c r="Z337" i="27"/>
  <c r="AA337" i="27"/>
  <c r="AE337" i="27"/>
  <c r="J332" i="27"/>
  <c r="K332" i="27"/>
  <c r="P332" i="27"/>
  <c r="Q332" i="27"/>
  <c r="S332" i="27"/>
  <c r="T332" i="27" s="1"/>
  <c r="W332" i="27"/>
  <c r="X332" i="27"/>
  <c r="Z332" i="27"/>
  <c r="AA332" i="27"/>
  <c r="AE332" i="27"/>
  <c r="J331" i="27"/>
  <c r="K331" i="27"/>
  <c r="P331" i="27"/>
  <c r="Q331" i="27"/>
  <c r="S331" i="27"/>
  <c r="U331" i="27" s="1"/>
  <c r="T331" i="27"/>
  <c r="W331" i="27"/>
  <c r="X331" i="27"/>
  <c r="Z331" i="27"/>
  <c r="AA331" i="27"/>
  <c r="AE331" i="27"/>
  <c r="J330" i="27"/>
  <c r="K330" i="27"/>
  <c r="P330" i="27"/>
  <c r="Q330" i="27"/>
  <c r="S330" i="27"/>
  <c r="T330" i="27"/>
  <c r="U330" i="27"/>
  <c r="W330" i="27"/>
  <c r="X330" i="27"/>
  <c r="Z330" i="27"/>
  <c r="AA330" i="27"/>
  <c r="AE330" i="27"/>
  <c r="J327" i="27"/>
  <c r="K327" i="27"/>
  <c r="P327" i="27"/>
  <c r="Q327" i="27"/>
  <c r="S327" i="27"/>
  <c r="U327" i="27" s="1"/>
  <c r="T327" i="27"/>
  <c r="W327" i="27"/>
  <c r="X327" i="27"/>
  <c r="Z327" i="27"/>
  <c r="AA327" i="27"/>
  <c r="AE327" i="27"/>
  <c r="J326" i="27"/>
  <c r="K326" i="27"/>
  <c r="P326" i="27"/>
  <c r="Q326" i="27"/>
  <c r="S326" i="27"/>
  <c r="T326" i="27"/>
  <c r="U326" i="27"/>
  <c r="W326" i="27"/>
  <c r="X326" i="27"/>
  <c r="Z326" i="27"/>
  <c r="AA326" i="27"/>
  <c r="AE326" i="27"/>
  <c r="J324" i="27"/>
  <c r="K324" i="27"/>
  <c r="P324" i="27"/>
  <c r="Q324" i="27"/>
  <c r="S324" i="27"/>
  <c r="U324" i="27" s="1"/>
  <c r="T324" i="27"/>
  <c r="W324" i="27"/>
  <c r="X324" i="27"/>
  <c r="Z324" i="27"/>
  <c r="AA324" i="27"/>
  <c r="AE324" i="27"/>
  <c r="J322" i="27"/>
  <c r="K322" i="27"/>
  <c r="P322" i="27"/>
  <c r="Q322" i="27"/>
  <c r="S322" i="27"/>
  <c r="U322" i="27" s="1"/>
  <c r="T322" i="27"/>
  <c r="W322" i="27"/>
  <c r="X322" i="27"/>
  <c r="Z322" i="27"/>
  <c r="AA322" i="27"/>
  <c r="AE322" i="27"/>
  <c r="J323" i="27"/>
  <c r="K323" i="27"/>
  <c r="P323" i="27"/>
  <c r="Q323" i="27"/>
  <c r="S323" i="27"/>
  <c r="U323" i="27" s="1"/>
  <c r="T323" i="27"/>
  <c r="W323" i="27"/>
  <c r="X323" i="27"/>
  <c r="Z323" i="27"/>
  <c r="AA323" i="27"/>
  <c r="AE323" i="27"/>
  <c r="J320" i="27"/>
  <c r="K320" i="27"/>
  <c r="P320" i="27"/>
  <c r="Q320" i="27"/>
  <c r="S320" i="27"/>
  <c r="T320" i="27" s="1"/>
  <c r="W320" i="27"/>
  <c r="X320" i="27"/>
  <c r="Z320" i="27"/>
  <c r="AA320" i="27"/>
  <c r="AE320" i="27"/>
  <c r="J319" i="27"/>
  <c r="K319" i="27"/>
  <c r="P319" i="27"/>
  <c r="Q319" i="27"/>
  <c r="S319" i="27"/>
  <c r="U319" i="27" s="1"/>
  <c r="T319" i="27"/>
  <c r="W319" i="27"/>
  <c r="X319" i="27"/>
  <c r="Z319" i="27"/>
  <c r="AA319" i="27"/>
  <c r="AE319" i="27"/>
  <c r="J315" i="27"/>
  <c r="K315" i="27"/>
  <c r="P315" i="27"/>
  <c r="Q315" i="27"/>
  <c r="S315" i="27"/>
  <c r="T315" i="27"/>
  <c r="U315" i="27"/>
  <c r="W315" i="27"/>
  <c r="X315" i="27"/>
  <c r="Z315" i="27"/>
  <c r="AA315" i="27"/>
  <c r="AE315" i="27"/>
  <c r="J316" i="27"/>
  <c r="K316" i="27"/>
  <c r="P316" i="27"/>
  <c r="Q316" i="27"/>
  <c r="S316" i="27"/>
  <c r="U316" i="27" s="1"/>
  <c r="T316" i="27"/>
  <c r="W316" i="27"/>
  <c r="X316" i="27"/>
  <c r="Z316" i="27"/>
  <c r="AA316" i="27"/>
  <c r="AE316" i="27"/>
  <c r="J317" i="27"/>
  <c r="K317" i="27"/>
  <c r="P317" i="27"/>
  <c r="Q317" i="27"/>
  <c r="S317" i="27"/>
  <c r="U317" i="27" s="1"/>
  <c r="W317" i="27"/>
  <c r="X317" i="27"/>
  <c r="Z317" i="27"/>
  <c r="AA317" i="27"/>
  <c r="AE317" i="27"/>
  <c r="J313" i="27"/>
  <c r="K313" i="27"/>
  <c r="P313" i="27"/>
  <c r="Q313" i="27"/>
  <c r="S313" i="27"/>
  <c r="U313" i="27" s="1"/>
  <c r="W313" i="27"/>
  <c r="X313" i="27"/>
  <c r="Z313" i="27"/>
  <c r="AA313" i="27"/>
  <c r="AE313" i="27"/>
  <c r="J306" i="27"/>
  <c r="K306" i="27"/>
  <c r="P306" i="27"/>
  <c r="Q306" i="27"/>
  <c r="S306" i="27"/>
  <c r="U306" i="27" s="1"/>
  <c r="W306" i="27"/>
  <c r="X306" i="27"/>
  <c r="Z306" i="27"/>
  <c r="AA306" i="27"/>
  <c r="AE306" i="27"/>
  <c r="J302" i="27"/>
  <c r="K302" i="27"/>
  <c r="P302" i="27"/>
  <c r="Q302" i="27"/>
  <c r="S302" i="27"/>
  <c r="T302" i="27" s="1"/>
  <c r="W302" i="27"/>
  <c r="X302" i="27"/>
  <c r="Z302" i="27"/>
  <c r="AA302" i="27"/>
  <c r="AE302" i="27"/>
  <c r="J301" i="27"/>
  <c r="K301" i="27"/>
  <c r="P301" i="27"/>
  <c r="Q301" i="27"/>
  <c r="S301" i="27"/>
  <c r="T301" i="27" s="1"/>
  <c r="U301" i="27"/>
  <c r="W301" i="27"/>
  <c r="X301" i="27"/>
  <c r="Z301" i="27"/>
  <c r="AA301" i="27"/>
  <c r="AE301" i="27"/>
  <c r="J300" i="27"/>
  <c r="K300" i="27"/>
  <c r="P300" i="27"/>
  <c r="Q300" i="27"/>
  <c r="S300" i="27"/>
  <c r="T300" i="27"/>
  <c r="U300" i="27"/>
  <c r="W300" i="27"/>
  <c r="X300" i="27"/>
  <c r="Z300" i="27"/>
  <c r="AA300" i="27"/>
  <c r="AE300" i="27"/>
  <c r="J299" i="27"/>
  <c r="K299" i="27"/>
  <c r="P299" i="27"/>
  <c r="Q299" i="27"/>
  <c r="S299" i="27"/>
  <c r="T299" i="27"/>
  <c r="U299" i="27"/>
  <c r="W299" i="27"/>
  <c r="X299" i="27"/>
  <c r="Z299" i="27"/>
  <c r="AA299" i="27"/>
  <c r="AE299" i="27"/>
  <c r="J297" i="27"/>
  <c r="K297" i="27"/>
  <c r="P297" i="27"/>
  <c r="Q297" i="27"/>
  <c r="S297" i="27"/>
  <c r="U297" i="27" s="1"/>
  <c r="T297" i="27"/>
  <c r="W297" i="27"/>
  <c r="X297" i="27"/>
  <c r="Z297" i="27"/>
  <c r="AA297" i="27"/>
  <c r="AE297" i="27"/>
  <c r="J294" i="27"/>
  <c r="K294" i="27"/>
  <c r="P294" i="27"/>
  <c r="Q294" i="27"/>
  <c r="S294" i="27"/>
  <c r="U294" i="27" s="1"/>
  <c r="T294" i="27"/>
  <c r="W294" i="27"/>
  <c r="X294" i="27"/>
  <c r="Z294" i="27"/>
  <c r="AA294" i="27"/>
  <c r="AE294" i="27"/>
  <c r="J292" i="27"/>
  <c r="K292" i="27"/>
  <c r="P292" i="27"/>
  <c r="Q292" i="27"/>
  <c r="S292" i="27"/>
  <c r="U292" i="27" s="1"/>
  <c r="T292" i="27"/>
  <c r="W292" i="27"/>
  <c r="X292" i="27"/>
  <c r="Z292" i="27"/>
  <c r="AA292" i="27"/>
  <c r="AE292" i="27"/>
  <c r="J293" i="27"/>
  <c r="K293" i="27"/>
  <c r="P293" i="27"/>
  <c r="Q293" i="27"/>
  <c r="S293" i="27"/>
  <c r="U293" i="27" s="1"/>
  <c r="T293" i="27"/>
  <c r="W293" i="27"/>
  <c r="X293" i="27"/>
  <c r="Z293" i="27"/>
  <c r="AA293" i="27"/>
  <c r="AE293" i="27"/>
  <c r="J289" i="27"/>
  <c r="K289" i="27"/>
  <c r="P289" i="27"/>
  <c r="Q289" i="27"/>
  <c r="S289" i="27"/>
  <c r="T289" i="27" s="1"/>
  <c r="W289" i="27"/>
  <c r="X289" i="27"/>
  <c r="Z289" i="27"/>
  <c r="AA289" i="27"/>
  <c r="AE289" i="27"/>
  <c r="J288" i="27"/>
  <c r="K288" i="27"/>
  <c r="P288" i="27"/>
  <c r="Q288" i="27"/>
  <c r="S288" i="27"/>
  <c r="U288" i="27" s="1"/>
  <c r="T288" i="27"/>
  <c r="W288" i="27"/>
  <c r="X288" i="27"/>
  <c r="Z288" i="27"/>
  <c r="AA288" i="27"/>
  <c r="AE288" i="27"/>
  <c r="J287" i="27"/>
  <c r="K287" i="27"/>
  <c r="P287" i="27"/>
  <c r="Q287" i="27"/>
  <c r="S287" i="27"/>
  <c r="T287" i="27"/>
  <c r="U287" i="27"/>
  <c r="W287" i="27"/>
  <c r="X287" i="27"/>
  <c r="Z287" i="27"/>
  <c r="AA287" i="27"/>
  <c r="AE287" i="27"/>
  <c r="J286" i="27"/>
  <c r="K286" i="27"/>
  <c r="P286" i="27"/>
  <c r="Q286" i="27"/>
  <c r="S286" i="27"/>
  <c r="U286" i="27" s="1"/>
  <c r="T286" i="27"/>
  <c r="W286" i="27"/>
  <c r="X286" i="27"/>
  <c r="Z286" i="27"/>
  <c r="AA286" i="27"/>
  <c r="AE286" i="27"/>
  <c r="J285" i="27"/>
  <c r="K285" i="27"/>
  <c r="P285" i="27"/>
  <c r="Q285" i="27"/>
  <c r="S285" i="27"/>
  <c r="T285" i="27" s="1"/>
  <c r="W285" i="27"/>
  <c r="X285" i="27"/>
  <c r="Z285" i="27"/>
  <c r="AA285" i="27"/>
  <c r="AE285" i="27"/>
  <c r="J284" i="27"/>
  <c r="K284" i="27"/>
  <c r="P284" i="27"/>
  <c r="Q284" i="27"/>
  <c r="S284" i="27"/>
  <c r="T284" i="27" s="1"/>
  <c r="W284" i="27"/>
  <c r="X284" i="27"/>
  <c r="Z284" i="27"/>
  <c r="AA284" i="27"/>
  <c r="AE284" i="27"/>
  <c r="J281" i="27"/>
  <c r="K281" i="27"/>
  <c r="P281" i="27"/>
  <c r="Q281" i="27"/>
  <c r="S281" i="27"/>
  <c r="U281" i="27" s="1"/>
  <c r="W281" i="27"/>
  <c r="X281" i="27"/>
  <c r="Z281" i="27"/>
  <c r="AA281" i="27"/>
  <c r="AE281" i="27"/>
  <c r="J282" i="27"/>
  <c r="K282" i="27"/>
  <c r="P282" i="27"/>
  <c r="Q282" i="27"/>
  <c r="S282" i="27"/>
  <c r="T282" i="27" s="1"/>
  <c r="W282" i="27"/>
  <c r="X282" i="27"/>
  <c r="Z282" i="27"/>
  <c r="AA282" i="27"/>
  <c r="AE282" i="27"/>
  <c r="J283" i="27"/>
  <c r="K283" i="27"/>
  <c r="P283" i="27"/>
  <c r="Q283" i="27"/>
  <c r="S283" i="27"/>
  <c r="U283" i="27" s="1"/>
  <c r="T283" i="27"/>
  <c r="W283" i="27"/>
  <c r="X283" i="27"/>
  <c r="Z283" i="27"/>
  <c r="AA283" i="27"/>
  <c r="AE283" i="27"/>
  <c r="J277" i="27"/>
  <c r="K277" i="27"/>
  <c r="P277" i="27"/>
  <c r="Q277" i="27"/>
  <c r="S277" i="27"/>
  <c r="T277" i="27" s="1"/>
  <c r="W277" i="27"/>
  <c r="X277" i="27"/>
  <c r="Z277" i="27"/>
  <c r="AA277" i="27"/>
  <c r="AE277" i="27"/>
  <c r="J278" i="27"/>
  <c r="K278" i="27"/>
  <c r="P278" i="27"/>
  <c r="Q278" i="27"/>
  <c r="S278" i="27"/>
  <c r="U278" i="27" s="1"/>
  <c r="T278" i="27"/>
  <c r="W278" i="27"/>
  <c r="X278" i="27"/>
  <c r="Z278" i="27"/>
  <c r="AA278" i="27"/>
  <c r="AE278" i="27"/>
  <c r="J279" i="27"/>
  <c r="K279" i="27"/>
  <c r="P279" i="27"/>
  <c r="Q279" i="27"/>
  <c r="S279" i="27"/>
  <c r="U279" i="27" s="1"/>
  <c r="T279" i="27"/>
  <c r="W279" i="27"/>
  <c r="X279" i="27"/>
  <c r="Z279" i="27"/>
  <c r="AA279" i="27"/>
  <c r="AE279" i="27"/>
  <c r="J280" i="27"/>
  <c r="K280" i="27"/>
  <c r="P280" i="27"/>
  <c r="Q280" i="27"/>
  <c r="S280" i="27"/>
  <c r="U280" i="27" s="1"/>
  <c r="T280" i="27"/>
  <c r="W280" i="27"/>
  <c r="X280" i="27"/>
  <c r="Z280" i="27"/>
  <c r="AA280" i="27"/>
  <c r="AE280" i="27"/>
  <c r="J276" i="27"/>
  <c r="K276" i="27"/>
  <c r="P276" i="27"/>
  <c r="Q276" i="27"/>
  <c r="S276" i="27"/>
  <c r="T276" i="27" s="1"/>
  <c r="W276" i="27"/>
  <c r="X276" i="27"/>
  <c r="Z276" i="27"/>
  <c r="AA276" i="27"/>
  <c r="AE276" i="27"/>
  <c r="J274" i="27"/>
  <c r="K274" i="27"/>
  <c r="P274" i="27"/>
  <c r="Q274" i="27"/>
  <c r="S274" i="27"/>
  <c r="T274" i="27" s="1"/>
  <c r="W274" i="27"/>
  <c r="X274" i="27"/>
  <c r="Z274" i="27"/>
  <c r="AA274" i="27"/>
  <c r="AE274" i="27"/>
  <c r="J275" i="27"/>
  <c r="K275" i="27"/>
  <c r="P275" i="27"/>
  <c r="Q275" i="27"/>
  <c r="S275" i="27"/>
  <c r="U275" i="27" s="1"/>
  <c r="T275" i="27"/>
  <c r="W275" i="27"/>
  <c r="X275" i="27"/>
  <c r="Z275" i="27"/>
  <c r="AA275" i="27"/>
  <c r="AE275" i="27"/>
  <c r="J273" i="27"/>
  <c r="K273" i="27"/>
  <c r="P273" i="27"/>
  <c r="Q273" i="27"/>
  <c r="S273" i="27"/>
  <c r="T273" i="27"/>
  <c r="U273" i="27"/>
  <c r="W273" i="27"/>
  <c r="X273" i="27"/>
  <c r="Z273" i="27"/>
  <c r="AA273" i="27"/>
  <c r="AE273" i="27"/>
  <c r="J268" i="27"/>
  <c r="K268" i="27"/>
  <c r="P268" i="27"/>
  <c r="Q268" i="27"/>
  <c r="S268" i="27"/>
  <c r="U268" i="27" s="1"/>
  <c r="T268" i="27"/>
  <c r="W268" i="27"/>
  <c r="X268" i="27"/>
  <c r="Z268" i="27"/>
  <c r="AA268" i="27"/>
  <c r="AE268" i="27"/>
  <c r="J266" i="27"/>
  <c r="K266" i="27"/>
  <c r="P266" i="27"/>
  <c r="Q266" i="27"/>
  <c r="S266" i="27"/>
  <c r="U266" i="27" s="1"/>
  <c r="T266" i="27"/>
  <c r="W266" i="27"/>
  <c r="X266" i="27"/>
  <c r="Z266" i="27"/>
  <c r="AA266" i="27"/>
  <c r="AE266" i="27"/>
  <c r="J265" i="27"/>
  <c r="K265" i="27"/>
  <c r="P265" i="27"/>
  <c r="Q265" i="27"/>
  <c r="S265" i="27"/>
  <c r="U265" i="27" s="1"/>
  <c r="T265" i="27"/>
  <c r="W265" i="27"/>
  <c r="X265" i="27"/>
  <c r="Z265" i="27"/>
  <c r="AA265" i="27"/>
  <c r="AE265" i="27"/>
  <c r="J264" i="27"/>
  <c r="K264" i="27"/>
  <c r="P264" i="27"/>
  <c r="Q264" i="27"/>
  <c r="S264" i="27"/>
  <c r="U264" i="27" s="1"/>
  <c r="W264" i="27"/>
  <c r="X264" i="27"/>
  <c r="Z264" i="27"/>
  <c r="AA264" i="27"/>
  <c r="AE264" i="27"/>
  <c r="J257" i="27"/>
  <c r="K257" i="27"/>
  <c r="P257" i="27"/>
  <c r="Q257" i="27"/>
  <c r="S257" i="27"/>
  <c r="T257" i="27" s="1"/>
  <c r="W257" i="27"/>
  <c r="X257" i="27"/>
  <c r="Z257" i="27"/>
  <c r="AA257" i="27"/>
  <c r="AE257" i="27"/>
  <c r="J256" i="27"/>
  <c r="K256" i="27"/>
  <c r="P256" i="27"/>
  <c r="Q256" i="27"/>
  <c r="S256" i="27"/>
  <c r="T256" i="27" s="1"/>
  <c r="W256" i="27"/>
  <c r="X256" i="27"/>
  <c r="Z256" i="27"/>
  <c r="AA256" i="27"/>
  <c r="AE256" i="27"/>
  <c r="J255" i="27"/>
  <c r="K255" i="27"/>
  <c r="P255" i="27"/>
  <c r="Q255" i="27"/>
  <c r="S255" i="27"/>
  <c r="U255" i="27" s="1"/>
  <c r="W255" i="27"/>
  <c r="X255" i="27"/>
  <c r="Z255" i="27"/>
  <c r="AA255" i="27"/>
  <c r="AE255" i="27"/>
  <c r="J254" i="27"/>
  <c r="K254" i="27"/>
  <c r="P254" i="27"/>
  <c r="Q254" i="27"/>
  <c r="S254" i="27"/>
  <c r="U254" i="27" s="1"/>
  <c r="W254" i="27"/>
  <c r="X254" i="27"/>
  <c r="Z254" i="27"/>
  <c r="AA254" i="27"/>
  <c r="AE254" i="27"/>
  <c r="J252" i="27"/>
  <c r="K252" i="27"/>
  <c r="P252" i="27"/>
  <c r="Q252" i="27"/>
  <c r="S252" i="27"/>
  <c r="T252" i="27" s="1"/>
  <c r="U252" i="27"/>
  <c r="W252" i="27"/>
  <c r="X252" i="27"/>
  <c r="Z252" i="27"/>
  <c r="AA252" i="27"/>
  <c r="AE252" i="27"/>
  <c r="J249" i="27"/>
  <c r="K249" i="27"/>
  <c r="P249" i="27"/>
  <c r="Q249" i="27"/>
  <c r="S249" i="27"/>
  <c r="U249" i="27" s="1"/>
  <c r="T249" i="27"/>
  <c r="W249" i="27"/>
  <c r="X249" i="27"/>
  <c r="Z249" i="27"/>
  <c r="AA249" i="27"/>
  <c r="AE249" i="27"/>
  <c r="J240" i="27"/>
  <c r="K240" i="27"/>
  <c r="P240" i="27"/>
  <c r="Q240" i="27"/>
  <c r="S240" i="27"/>
  <c r="T240" i="27" s="1"/>
  <c r="W240" i="27"/>
  <c r="X240" i="27"/>
  <c r="Z240" i="27"/>
  <c r="AA240" i="27"/>
  <c r="AE240" i="27"/>
  <c r="J239" i="27"/>
  <c r="K239" i="27"/>
  <c r="P239" i="27"/>
  <c r="Q239" i="27"/>
  <c r="S239" i="27"/>
  <c r="U239" i="27" s="1"/>
  <c r="W239" i="27"/>
  <c r="X239" i="27"/>
  <c r="Z239" i="27"/>
  <c r="AA239" i="27"/>
  <c r="AE239" i="27"/>
  <c r="J237" i="27"/>
  <c r="K237" i="27"/>
  <c r="P237" i="27"/>
  <c r="Q237" i="27"/>
  <c r="S237" i="27"/>
  <c r="U237" i="27" s="1"/>
  <c r="W237" i="27"/>
  <c r="X237" i="27"/>
  <c r="Z237" i="27"/>
  <c r="AA237" i="27"/>
  <c r="AE237" i="27"/>
  <c r="J235" i="27"/>
  <c r="K235" i="27"/>
  <c r="P235" i="27"/>
  <c r="Q235" i="27"/>
  <c r="S235" i="27"/>
  <c r="U235" i="27" s="1"/>
  <c r="W235" i="27"/>
  <c r="X235" i="27"/>
  <c r="Z235" i="27"/>
  <c r="AA235" i="27"/>
  <c r="AE235" i="27"/>
  <c r="J234" i="27"/>
  <c r="K234" i="27"/>
  <c r="P234" i="27"/>
  <c r="Q234" i="27"/>
  <c r="S234" i="27"/>
  <c r="U234" i="27" s="1"/>
  <c r="W234" i="27"/>
  <c r="X234" i="27"/>
  <c r="Z234" i="27"/>
  <c r="AA234" i="27"/>
  <c r="AE234" i="27"/>
  <c r="J231" i="27"/>
  <c r="K231" i="27"/>
  <c r="P231" i="27"/>
  <c r="Q231" i="27"/>
  <c r="S231" i="27"/>
  <c r="U231" i="27" s="1"/>
  <c r="W231" i="27"/>
  <c r="X231" i="27"/>
  <c r="Z231" i="27"/>
  <c r="AA231" i="27"/>
  <c r="AE231" i="27"/>
  <c r="J232" i="27"/>
  <c r="K232" i="27"/>
  <c r="P232" i="27"/>
  <c r="Q232" i="27"/>
  <c r="S232" i="27"/>
  <c r="T232" i="27" s="1"/>
  <c r="U232" i="27"/>
  <c r="W232" i="27"/>
  <c r="X232" i="27"/>
  <c r="Z232" i="27"/>
  <c r="AA232" i="27"/>
  <c r="AE232" i="27"/>
  <c r="J233" i="27"/>
  <c r="K233" i="27"/>
  <c r="P233" i="27"/>
  <c r="Q233" i="27"/>
  <c r="S233" i="27"/>
  <c r="U233" i="27" s="1"/>
  <c r="T233" i="27"/>
  <c r="W233" i="27"/>
  <c r="X233" i="27"/>
  <c r="Z233" i="27"/>
  <c r="AA233" i="27"/>
  <c r="AE233" i="27"/>
  <c r="J229" i="27"/>
  <c r="K229" i="27"/>
  <c r="P229" i="27"/>
  <c r="Q229" i="27"/>
  <c r="S229" i="27"/>
  <c r="U229" i="27" s="1"/>
  <c r="T229" i="27"/>
  <c r="W229" i="27"/>
  <c r="X229" i="27"/>
  <c r="Z229" i="27"/>
  <c r="AA229" i="27"/>
  <c r="AE229" i="27"/>
  <c r="J230" i="27"/>
  <c r="K230" i="27"/>
  <c r="P230" i="27"/>
  <c r="Q230" i="27"/>
  <c r="S230" i="27"/>
  <c r="T230" i="27" s="1"/>
  <c r="W230" i="27"/>
  <c r="X230" i="27"/>
  <c r="Z230" i="27"/>
  <c r="AA230" i="27"/>
  <c r="AE230" i="27"/>
  <c r="J228" i="27"/>
  <c r="K228" i="27"/>
  <c r="P228" i="27"/>
  <c r="Q228" i="27"/>
  <c r="S228" i="27"/>
  <c r="U228" i="27" s="1"/>
  <c r="T228" i="27"/>
  <c r="W228" i="27"/>
  <c r="X228" i="27"/>
  <c r="Z228" i="27"/>
  <c r="AA228" i="27"/>
  <c r="AE228" i="27"/>
  <c r="J227" i="27"/>
  <c r="K227" i="27"/>
  <c r="P227" i="27"/>
  <c r="Q227" i="27"/>
  <c r="S227" i="27"/>
  <c r="U227" i="27" s="1"/>
  <c r="T227" i="27"/>
  <c r="W227" i="27"/>
  <c r="X227" i="27"/>
  <c r="Z227" i="27"/>
  <c r="AA227" i="27"/>
  <c r="AE227" i="27"/>
  <c r="J225" i="27"/>
  <c r="K225" i="27"/>
  <c r="P225" i="27"/>
  <c r="Q225" i="27"/>
  <c r="S225" i="27"/>
  <c r="T225" i="27"/>
  <c r="U225" i="27"/>
  <c r="W225" i="27"/>
  <c r="X225" i="27"/>
  <c r="Z225" i="27"/>
  <c r="AA225" i="27"/>
  <c r="AE225" i="27"/>
  <c r="J224" i="27"/>
  <c r="K224" i="27"/>
  <c r="P224" i="27"/>
  <c r="Q224" i="27"/>
  <c r="S224" i="27"/>
  <c r="U224" i="27" s="1"/>
  <c r="W224" i="27"/>
  <c r="X224" i="27"/>
  <c r="Z224" i="27"/>
  <c r="AA224" i="27"/>
  <c r="AE224" i="27"/>
  <c r="J226" i="27"/>
  <c r="K226" i="27"/>
  <c r="P226" i="27"/>
  <c r="Q226" i="27"/>
  <c r="S226" i="27"/>
  <c r="U226" i="27" s="1"/>
  <c r="W226" i="27"/>
  <c r="X226" i="27"/>
  <c r="Z226" i="27"/>
  <c r="AA226" i="27"/>
  <c r="AE226" i="27"/>
  <c r="J221" i="27"/>
  <c r="K221" i="27"/>
  <c r="P221" i="27"/>
  <c r="Q221" i="27"/>
  <c r="S221" i="27"/>
  <c r="U221" i="27" s="1"/>
  <c r="W221" i="27"/>
  <c r="X221" i="27"/>
  <c r="Z221" i="27"/>
  <c r="AA221" i="27"/>
  <c r="AE221" i="27"/>
  <c r="J222" i="27"/>
  <c r="K222" i="27"/>
  <c r="P222" i="27"/>
  <c r="Q222" i="27"/>
  <c r="S222" i="27"/>
  <c r="T222" i="27" s="1"/>
  <c r="W222" i="27"/>
  <c r="X222" i="27"/>
  <c r="Z222" i="27"/>
  <c r="AA222" i="27"/>
  <c r="AE222" i="27"/>
  <c r="J223" i="27"/>
  <c r="K223" i="27"/>
  <c r="P223" i="27"/>
  <c r="Q223" i="27"/>
  <c r="S223" i="27"/>
  <c r="U223" i="27" s="1"/>
  <c r="W223" i="27"/>
  <c r="X223" i="27"/>
  <c r="Z223" i="27"/>
  <c r="AA223" i="27"/>
  <c r="AE223" i="27"/>
  <c r="J220" i="27"/>
  <c r="K220" i="27"/>
  <c r="P220" i="27"/>
  <c r="Q220" i="27"/>
  <c r="S220" i="27"/>
  <c r="T220" i="27" s="1"/>
  <c r="U220" i="27"/>
  <c r="W220" i="27"/>
  <c r="X220" i="27"/>
  <c r="Z220" i="27"/>
  <c r="AA220" i="27"/>
  <c r="AE220" i="27"/>
  <c r="J217" i="27"/>
  <c r="K217" i="27"/>
  <c r="P217" i="27"/>
  <c r="Q217" i="27"/>
  <c r="S217" i="27"/>
  <c r="U217" i="27" s="1"/>
  <c r="T217" i="27"/>
  <c r="W217" i="27"/>
  <c r="X217" i="27"/>
  <c r="Z217" i="27"/>
  <c r="AA217" i="27"/>
  <c r="AE217" i="27"/>
  <c r="J216" i="27"/>
  <c r="K216" i="27"/>
  <c r="P216" i="27"/>
  <c r="Q216" i="27"/>
  <c r="S216" i="27"/>
  <c r="U216" i="27" s="1"/>
  <c r="T216" i="27"/>
  <c r="W216" i="27"/>
  <c r="X216" i="27"/>
  <c r="Z216" i="27"/>
  <c r="AA216" i="27"/>
  <c r="AE216" i="27"/>
  <c r="J215" i="27"/>
  <c r="K215" i="27"/>
  <c r="P215" i="27"/>
  <c r="Q215" i="27"/>
  <c r="S215" i="27"/>
  <c r="U215" i="27" s="1"/>
  <c r="T215" i="27"/>
  <c r="W215" i="27"/>
  <c r="X215" i="27"/>
  <c r="Z215" i="27"/>
  <c r="AA215" i="27"/>
  <c r="AE215" i="27"/>
  <c r="J214" i="27"/>
  <c r="K214" i="27"/>
  <c r="P214" i="27"/>
  <c r="Q214" i="27"/>
  <c r="S214" i="27"/>
  <c r="U214" i="27" s="1"/>
  <c r="T214" i="27"/>
  <c r="W214" i="27"/>
  <c r="X214" i="27"/>
  <c r="Z214" i="27"/>
  <c r="AA214" i="27"/>
  <c r="AE214" i="27"/>
  <c r="J213" i="27"/>
  <c r="K213" i="27"/>
  <c r="P213" i="27"/>
  <c r="Q213" i="27"/>
  <c r="S213" i="27"/>
  <c r="T213" i="27" s="1"/>
  <c r="W213" i="27"/>
  <c r="X213" i="27"/>
  <c r="Z213" i="27"/>
  <c r="AA213" i="27"/>
  <c r="AE213" i="27"/>
  <c r="J212" i="27"/>
  <c r="K212" i="27"/>
  <c r="P212" i="27"/>
  <c r="Q212" i="27"/>
  <c r="S212" i="27"/>
  <c r="T212" i="27" s="1"/>
  <c r="W212" i="27"/>
  <c r="X212" i="27"/>
  <c r="Z212" i="27"/>
  <c r="AA212" i="27"/>
  <c r="AE212" i="27"/>
  <c r="J211" i="27"/>
  <c r="K211" i="27"/>
  <c r="P211" i="27"/>
  <c r="Q211" i="27"/>
  <c r="S211" i="27"/>
  <c r="T211" i="27" s="1"/>
  <c r="W211" i="27"/>
  <c r="X211" i="27"/>
  <c r="Z211" i="27"/>
  <c r="AA211" i="27"/>
  <c r="AE211" i="27"/>
  <c r="J210" i="27"/>
  <c r="K210" i="27"/>
  <c r="P210" i="27"/>
  <c r="Q210" i="27"/>
  <c r="S210" i="27"/>
  <c r="T210" i="27" s="1"/>
  <c r="U210" i="27"/>
  <c r="W210" i="27"/>
  <c r="X210" i="27"/>
  <c r="Z210" i="27"/>
  <c r="AA210" i="27"/>
  <c r="AE210" i="27"/>
  <c r="J209" i="27"/>
  <c r="K209" i="27"/>
  <c r="P209" i="27"/>
  <c r="Q209" i="27"/>
  <c r="S209" i="27"/>
  <c r="U209" i="27" s="1"/>
  <c r="T209" i="27"/>
  <c r="W209" i="27"/>
  <c r="X209" i="27"/>
  <c r="Z209" i="27"/>
  <c r="AA209" i="27"/>
  <c r="AE209" i="27"/>
  <c r="J208" i="27"/>
  <c r="K208" i="27"/>
  <c r="P208" i="27"/>
  <c r="Q208" i="27"/>
  <c r="S208" i="27"/>
  <c r="U208" i="27" s="1"/>
  <c r="T208" i="27"/>
  <c r="W208" i="27"/>
  <c r="X208" i="27"/>
  <c r="Z208" i="27"/>
  <c r="AA208" i="27"/>
  <c r="AE208" i="27"/>
  <c r="J206" i="27"/>
  <c r="K206" i="27"/>
  <c r="P206" i="27"/>
  <c r="Q206" i="27"/>
  <c r="S206" i="27"/>
  <c r="U206" i="27" s="1"/>
  <c r="T206" i="27"/>
  <c r="W206" i="27"/>
  <c r="X206" i="27"/>
  <c r="Z206" i="27"/>
  <c r="AA206" i="27"/>
  <c r="AE206" i="27"/>
  <c r="J207" i="27"/>
  <c r="K207" i="27"/>
  <c r="P207" i="27"/>
  <c r="Q207" i="27"/>
  <c r="S207" i="27"/>
  <c r="U207" i="27" s="1"/>
  <c r="T207" i="27"/>
  <c r="W207" i="27"/>
  <c r="X207" i="27"/>
  <c r="Z207" i="27"/>
  <c r="AA207" i="27"/>
  <c r="AE207" i="27"/>
  <c r="J205" i="27"/>
  <c r="K205" i="27"/>
  <c r="P205" i="27"/>
  <c r="Q205" i="27"/>
  <c r="S205" i="27"/>
  <c r="U205" i="27" s="1"/>
  <c r="T205" i="27"/>
  <c r="W205" i="27"/>
  <c r="X205" i="27"/>
  <c r="Z205" i="27"/>
  <c r="AA205" i="27"/>
  <c r="AE205" i="27"/>
  <c r="J197" i="27"/>
  <c r="K197" i="27"/>
  <c r="P197" i="27"/>
  <c r="Q197" i="27"/>
  <c r="S197" i="27"/>
  <c r="U197" i="27" s="1"/>
  <c r="W197" i="27"/>
  <c r="X197" i="27"/>
  <c r="Z197" i="27"/>
  <c r="AA197" i="27"/>
  <c r="AE197" i="27"/>
  <c r="J196" i="27"/>
  <c r="K196" i="27"/>
  <c r="P196" i="27"/>
  <c r="Q196" i="27"/>
  <c r="S196" i="27"/>
  <c r="U196" i="27" s="1"/>
  <c r="W196" i="27"/>
  <c r="X196" i="27"/>
  <c r="Z196" i="27"/>
  <c r="AA196" i="27"/>
  <c r="AE196" i="27"/>
  <c r="J177" i="27"/>
  <c r="K177" i="27"/>
  <c r="P177" i="27"/>
  <c r="Q177" i="27"/>
  <c r="S177" i="27"/>
  <c r="T177" i="27" s="1"/>
  <c r="W177" i="27"/>
  <c r="X177" i="27"/>
  <c r="Z177" i="27"/>
  <c r="AA177" i="27"/>
  <c r="AE177" i="27"/>
  <c r="J175" i="27"/>
  <c r="K175" i="27"/>
  <c r="P175" i="27"/>
  <c r="Q175" i="27"/>
  <c r="S175" i="27"/>
  <c r="U175" i="27" s="1"/>
  <c r="W175" i="27"/>
  <c r="X175" i="27"/>
  <c r="Z175" i="27"/>
  <c r="AA175" i="27"/>
  <c r="AE175" i="27"/>
  <c r="J176" i="27"/>
  <c r="K176" i="27"/>
  <c r="P176" i="27"/>
  <c r="Q176" i="27"/>
  <c r="S176" i="27"/>
  <c r="T176" i="27" s="1"/>
  <c r="W176" i="27"/>
  <c r="X176" i="27"/>
  <c r="Z176" i="27"/>
  <c r="AA176" i="27"/>
  <c r="AE176" i="27"/>
  <c r="J173" i="27"/>
  <c r="K173" i="27"/>
  <c r="P173" i="27"/>
  <c r="Q173" i="27"/>
  <c r="S173" i="27"/>
  <c r="T173" i="27" s="1"/>
  <c r="U173" i="27"/>
  <c r="W173" i="27"/>
  <c r="X173" i="27"/>
  <c r="Z173" i="27"/>
  <c r="AA173" i="27"/>
  <c r="AE173" i="27"/>
  <c r="J174" i="27"/>
  <c r="K174" i="27"/>
  <c r="P174" i="27"/>
  <c r="Q174" i="27"/>
  <c r="S174" i="27"/>
  <c r="U174" i="27" s="1"/>
  <c r="T174" i="27"/>
  <c r="W174" i="27"/>
  <c r="X174" i="27"/>
  <c r="Z174" i="27"/>
  <c r="AA174" i="27"/>
  <c r="AE174" i="27"/>
  <c r="J151" i="27"/>
  <c r="K151" i="27"/>
  <c r="P151" i="27"/>
  <c r="Q151" i="27"/>
  <c r="S151" i="27"/>
  <c r="T151" i="27" s="1"/>
  <c r="W151" i="27"/>
  <c r="X151" i="27"/>
  <c r="Z151" i="27"/>
  <c r="AA151" i="27"/>
  <c r="AE151" i="27"/>
  <c r="J152" i="27"/>
  <c r="K152" i="27"/>
  <c r="P152" i="27"/>
  <c r="Q152" i="27"/>
  <c r="S152" i="27"/>
  <c r="U152" i="27" s="1"/>
  <c r="W152" i="27"/>
  <c r="X152" i="27"/>
  <c r="Z152" i="27"/>
  <c r="AA152" i="27"/>
  <c r="AE152" i="27"/>
  <c r="J150" i="27"/>
  <c r="K150" i="27"/>
  <c r="P150" i="27"/>
  <c r="Q150" i="27"/>
  <c r="S150" i="27"/>
  <c r="T150" i="27" s="1"/>
  <c r="W150" i="27"/>
  <c r="X150" i="27"/>
  <c r="Z150" i="27"/>
  <c r="AA150" i="27"/>
  <c r="AE150" i="27"/>
  <c r="J149" i="27"/>
  <c r="K149" i="27"/>
  <c r="P149" i="27"/>
  <c r="Q149" i="27"/>
  <c r="S149" i="27"/>
  <c r="T149" i="27" s="1"/>
  <c r="U149" i="27"/>
  <c r="W149" i="27"/>
  <c r="X149" i="27"/>
  <c r="Z149" i="27"/>
  <c r="AA149" i="27"/>
  <c r="AE149" i="27"/>
  <c r="J148" i="27"/>
  <c r="K148" i="27"/>
  <c r="P148" i="27"/>
  <c r="Q148" i="27"/>
  <c r="S148" i="27"/>
  <c r="U148" i="27" s="1"/>
  <c r="T148" i="27"/>
  <c r="W148" i="27"/>
  <c r="X148" i="27"/>
  <c r="Z148" i="27"/>
  <c r="AA148" i="27"/>
  <c r="AE148" i="27"/>
  <c r="J147" i="27"/>
  <c r="K147" i="27"/>
  <c r="P147" i="27"/>
  <c r="Q147" i="27"/>
  <c r="S147" i="27"/>
  <c r="U147" i="27" s="1"/>
  <c r="T147" i="27"/>
  <c r="W147" i="27"/>
  <c r="X147" i="27"/>
  <c r="Z147" i="27"/>
  <c r="AA147" i="27"/>
  <c r="AE147" i="27"/>
  <c r="J146" i="27"/>
  <c r="K146" i="27"/>
  <c r="P146" i="27"/>
  <c r="Q146" i="27"/>
  <c r="S146" i="27"/>
  <c r="T146" i="27" s="1"/>
  <c r="W146" i="27"/>
  <c r="X146" i="27"/>
  <c r="Z146" i="27"/>
  <c r="AA146" i="27"/>
  <c r="AE146" i="27"/>
  <c r="J143" i="27"/>
  <c r="K143" i="27"/>
  <c r="P143" i="27"/>
  <c r="Q143" i="27"/>
  <c r="S143" i="27"/>
  <c r="U143" i="27" s="1"/>
  <c r="W143" i="27"/>
  <c r="X143" i="27"/>
  <c r="Z143" i="27"/>
  <c r="AA143" i="27"/>
  <c r="AE143" i="27"/>
  <c r="J144" i="27"/>
  <c r="K144" i="27"/>
  <c r="P144" i="27"/>
  <c r="Q144" i="27"/>
  <c r="S144" i="27"/>
  <c r="T144" i="27" s="1"/>
  <c r="W144" i="27"/>
  <c r="X144" i="27"/>
  <c r="Z144" i="27"/>
  <c r="AA144" i="27"/>
  <c r="AE144" i="27"/>
  <c r="J145" i="27"/>
  <c r="K145" i="27"/>
  <c r="P145" i="27"/>
  <c r="Q145" i="27"/>
  <c r="S145" i="27"/>
  <c r="U145" i="27" s="1"/>
  <c r="W145" i="27"/>
  <c r="X145" i="27"/>
  <c r="Z145" i="27"/>
  <c r="AA145" i="27"/>
  <c r="AE145" i="27"/>
  <c r="J142" i="27"/>
  <c r="K142" i="27"/>
  <c r="P142" i="27"/>
  <c r="Q142" i="27"/>
  <c r="S142" i="27"/>
  <c r="T142" i="27" s="1"/>
  <c r="W142" i="27"/>
  <c r="X142" i="27"/>
  <c r="Z142" i="27"/>
  <c r="AA142" i="27"/>
  <c r="AE142" i="27"/>
  <c r="J140" i="27"/>
  <c r="K140" i="27"/>
  <c r="P140" i="27"/>
  <c r="Q140" i="27"/>
  <c r="S140" i="27"/>
  <c r="U140" i="27" s="1"/>
  <c r="W140" i="27"/>
  <c r="X140" i="27"/>
  <c r="Z140" i="27"/>
  <c r="AA140" i="27"/>
  <c r="AE140" i="27"/>
  <c r="J141" i="27"/>
  <c r="K141" i="27"/>
  <c r="P141" i="27"/>
  <c r="Q141" i="27"/>
  <c r="S141" i="27"/>
  <c r="U141" i="27" s="1"/>
  <c r="W141" i="27"/>
  <c r="X141" i="27"/>
  <c r="Z141" i="27"/>
  <c r="AA141" i="27"/>
  <c r="AE141" i="27"/>
  <c r="J138" i="27"/>
  <c r="K138" i="27"/>
  <c r="P138" i="27"/>
  <c r="Q138" i="27"/>
  <c r="S138" i="27"/>
  <c r="T138" i="27" s="1"/>
  <c r="W138" i="27"/>
  <c r="X138" i="27"/>
  <c r="Z138" i="27"/>
  <c r="AA138" i="27"/>
  <c r="AE138" i="27"/>
  <c r="J131" i="27"/>
  <c r="K131" i="27"/>
  <c r="P131" i="27"/>
  <c r="Q131" i="27"/>
  <c r="S131" i="27"/>
  <c r="U131" i="27" s="1"/>
  <c r="T131" i="27"/>
  <c r="W131" i="27"/>
  <c r="X131" i="27"/>
  <c r="Z131" i="27"/>
  <c r="AA131" i="27"/>
  <c r="AE131" i="27"/>
  <c r="J132" i="27"/>
  <c r="K132" i="27"/>
  <c r="P132" i="27"/>
  <c r="Q132" i="27"/>
  <c r="S132" i="27"/>
  <c r="U132" i="27" s="1"/>
  <c r="T132" i="27"/>
  <c r="W132" i="27"/>
  <c r="X132" i="27"/>
  <c r="Z132" i="27"/>
  <c r="AA132" i="27"/>
  <c r="AE132" i="27"/>
  <c r="J133" i="27"/>
  <c r="K133" i="27"/>
  <c r="P133" i="27"/>
  <c r="Q133" i="27"/>
  <c r="S133" i="27"/>
  <c r="U133" i="27" s="1"/>
  <c r="T133" i="27"/>
  <c r="W133" i="27"/>
  <c r="X133" i="27"/>
  <c r="Z133" i="27"/>
  <c r="AA133" i="27"/>
  <c r="AE133" i="27"/>
  <c r="J134" i="27"/>
  <c r="K134" i="27"/>
  <c r="P134" i="27"/>
  <c r="Q134" i="27"/>
  <c r="S134" i="27"/>
  <c r="U134" i="27" s="1"/>
  <c r="W134" i="27"/>
  <c r="X134" i="27"/>
  <c r="Z134" i="27"/>
  <c r="AA134" i="27"/>
  <c r="AE134" i="27"/>
  <c r="J135" i="27"/>
  <c r="K135" i="27"/>
  <c r="P135" i="27"/>
  <c r="Q135" i="27"/>
  <c r="S135" i="27"/>
  <c r="T135" i="27" s="1"/>
  <c r="U135" i="27"/>
  <c r="W135" i="27"/>
  <c r="X135" i="27"/>
  <c r="Z135" i="27"/>
  <c r="AA135" i="27"/>
  <c r="AE135" i="27"/>
  <c r="J136" i="27"/>
  <c r="K136" i="27"/>
  <c r="P136" i="27"/>
  <c r="Q136" i="27"/>
  <c r="S136" i="27"/>
  <c r="U136" i="27" s="1"/>
  <c r="T136" i="27"/>
  <c r="W136" i="27"/>
  <c r="X136" i="27"/>
  <c r="Z136" i="27"/>
  <c r="AA136" i="27"/>
  <c r="AE136" i="27"/>
  <c r="J106" i="27"/>
  <c r="K106" i="27"/>
  <c r="P106" i="27"/>
  <c r="Q106" i="27"/>
  <c r="S106" i="27"/>
  <c r="U106" i="27" s="1"/>
  <c r="T106" i="27"/>
  <c r="W106" i="27"/>
  <c r="X106" i="27"/>
  <c r="Z106" i="27"/>
  <c r="AA106" i="27"/>
  <c r="AE106" i="27"/>
  <c r="J101" i="27"/>
  <c r="K101" i="27"/>
  <c r="P101" i="27"/>
  <c r="Q101" i="27"/>
  <c r="S101" i="27"/>
  <c r="U101" i="27" s="1"/>
  <c r="T101" i="27"/>
  <c r="W101" i="27"/>
  <c r="X101" i="27"/>
  <c r="Z101" i="27"/>
  <c r="AA101" i="27"/>
  <c r="AE101" i="27"/>
  <c r="J100" i="27"/>
  <c r="K100" i="27"/>
  <c r="P100" i="27"/>
  <c r="Q100" i="27"/>
  <c r="S100" i="27"/>
  <c r="U100" i="27" s="1"/>
  <c r="T100" i="27"/>
  <c r="W100" i="27"/>
  <c r="X100" i="27"/>
  <c r="Z100" i="27"/>
  <c r="AA100" i="27"/>
  <c r="AE100" i="27"/>
  <c r="J99" i="27"/>
  <c r="K99" i="27"/>
  <c r="P99" i="27"/>
  <c r="Q99" i="27"/>
  <c r="S99" i="27"/>
  <c r="U99" i="27" s="1"/>
  <c r="T99" i="27"/>
  <c r="W99" i="27"/>
  <c r="X99" i="27"/>
  <c r="Z99" i="27"/>
  <c r="AA99" i="27"/>
  <c r="AE99" i="27"/>
  <c r="J94" i="27"/>
  <c r="K94" i="27"/>
  <c r="P94" i="27"/>
  <c r="Q94" i="27"/>
  <c r="S94" i="27"/>
  <c r="U94" i="27" s="1"/>
  <c r="T94" i="27"/>
  <c r="W94" i="27"/>
  <c r="X94" i="27"/>
  <c r="Z94" i="27"/>
  <c r="AA94" i="27"/>
  <c r="AE94" i="27"/>
  <c r="J95" i="27"/>
  <c r="J96" i="27"/>
  <c r="K95" i="27"/>
  <c r="K96" i="27"/>
  <c r="P95" i="27"/>
  <c r="P96" i="27"/>
  <c r="Q95" i="27"/>
  <c r="Q96" i="27"/>
  <c r="S95" i="27"/>
  <c r="T95" i="27" s="1"/>
  <c r="S96" i="27"/>
  <c r="T96" i="27" s="1"/>
  <c r="W95" i="27"/>
  <c r="W96" i="27"/>
  <c r="X95" i="27"/>
  <c r="X96" i="27"/>
  <c r="Z95" i="27"/>
  <c r="Z96" i="27"/>
  <c r="AA95" i="27"/>
  <c r="AA96" i="27"/>
  <c r="AE95" i="27"/>
  <c r="AE96" i="27"/>
  <c r="J97" i="27"/>
  <c r="K97" i="27"/>
  <c r="P97" i="27"/>
  <c r="Q97" i="27"/>
  <c r="S97" i="27"/>
  <c r="T97" i="27" s="1"/>
  <c r="W97" i="27"/>
  <c r="X97" i="27"/>
  <c r="Z97" i="27"/>
  <c r="AA97" i="27"/>
  <c r="AE97" i="27"/>
  <c r="J98" i="27"/>
  <c r="K98" i="27"/>
  <c r="P98" i="27"/>
  <c r="Q98" i="27"/>
  <c r="S98" i="27"/>
  <c r="T98" i="27" s="1"/>
  <c r="U98" i="27"/>
  <c r="W98" i="27"/>
  <c r="X98" i="27"/>
  <c r="Z98" i="27"/>
  <c r="AA98" i="27"/>
  <c r="AE98" i="27"/>
  <c r="J93" i="27"/>
  <c r="K93" i="27"/>
  <c r="P93" i="27"/>
  <c r="Q93" i="27"/>
  <c r="S93" i="27"/>
  <c r="U93" i="27" s="1"/>
  <c r="T93" i="27"/>
  <c r="W93" i="27"/>
  <c r="X93" i="27"/>
  <c r="Z93" i="27"/>
  <c r="AA93" i="27"/>
  <c r="AE93" i="27"/>
  <c r="J92" i="27"/>
  <c r="K92" i="27"/>
  <c r="P92" i="27"/>
  <c r="Q92" i="27"/>
  <c r="S92" i="27"/>
  <c r="U92" i="27" s="1"/>
  <c r="T92" i="27"/>
  <c r="W92" i="27"/>
  <c r="X92" i="27"/>
  <c r="Z92" i="27"/>
  <c r="AA92" i="27"/>
  <c r="AE92" i="27"/>
  <c r="J91" i="27"/>
  <c r="K91" i="27"/>
  <c r="P91" i="27"/>
  <c r="Q91" i="27"/>
  <c r="S91" i="27"/>
  <c r="U91" i="27" s="1"/>
  <c r="T91" i="27"/>
  <c r="W91" i="27"/>
  <c r="X91" i="27"/>
  <c r="Z91" i="27"/>
  <c r="AA91" i="27"/>
  <c r="AE91" i="27"/>
  <c r="J89" i="27"/>
  <c r="K89" i="27"/>
  <c r="P89" i="27"/>
  <c r="Q89" i="27"/>
  <c r="S89" i="27"/>
  <c r="U89" i="27" s="1"/>
  <c r="T89" i="27"/>
  <c r="W89" i="27"/>
  <c r="X89" i="27"/>
  <c r="Z89" i="27"/>
  <c r="AA89" i="27"/>
  <c r="AE89" i="27"/>
  <c r="J87" i="27"/>
  <c r="K87" i="27"/>
  <c r="P87" i="27"/>
  <c r="Q87" i="27"/>
  <c r="S87" i="27"/>
  <c r="T87" i="27" s="1"/>
  <c r="U87" i="27"/>
  <c r="W87" i="27"/>
  <c r="X87" i="27"/>
  <c r="Z87" i="27"/>
  <c r="AA87" i="27"/>
  <c r="AE87" i="27"/>
  <c r="J88" i="27"/>
  <c r="K88" i="27"/>
  <c r="P88" i="27"/>
  <c r="Q88" i="27"/>
  <c r="S88" i="27"/>
  <c r="U88" i="27" s="1"/>
  <c r="T88" i="27"/>
  <c r="W88" i="27"/>
  <c r="X88" i="27"/>
  <c r="Z88" i="27"/>
  <c r="AA88" i="27"/>
  <c r="AE88" i="27"/>
  <c r="J86" i="27"/>
  <c r="K86" i="27"/>
  <c r="P86" i="27"/>
  <c r="Q86" i="27"/>
  <c r="S86" i="27"/>
  <c r="U86" i="27" s="1"/>
  <c r="W86" i="27"/>
  <c r="X86" i="27"/>
  <c r="Z86" i="27"/>
  <c r="AA86" i="27"/>
  <c r="AE86" i="27"/>
  <c r="J76" i="27"/>
  <c r="K76" i="27"/>
  <c r="P76" i="27"/>
  <c r="Q76" i="27"/>
  <c r="S76" i="27"/>
  <c r="U76" i="27" s="1"/>
  <c r="W76" i="27"/>
  <c r="X76" i="27"/>
  <c r="Z76" i="27"/>
  <c r="AA76" i="27"/>
  <c r="AE76" i="27"/>
  <c r="J59" i="27"/>
  <c r="K59" i="27"/>
  <c r="P59" i="27"/>
  <c r="Q59" i="27"/>
  <c r="S59" i="27"/>
  <c r="U59" i="27" s="1"/>
  <c r="W59" i="27"/>
  <c r="X59" i="27"/>
  <c r="Z59" i="27"/>
  <c r="AA59" i="27"/>
  <c r="AE59" i="27"/>
  <c r="J57" i="27"/>
  <c r="K57" i="27"/>
  <c r="P57" i="27"/>
  <c r="Q57" i="27"/>
  <c r="S57" i="27"/>
  <c r="T57" i="27" s="1"/>
  <c r="W57" i="27"/>
  <c r="X57" i="27"/>
  <c r="Z57" i="27"/>
  <c r="AA57" i="27"/>
  <c r="AE57" i="27"/>
  <c r="J53" i="27"/>
  <c r="K53" i="27"/>
  <c r="P53" i="27"/>
  <c r="Q53" i="27"/>
  <c r="S53" i="27"/>
  <c r="T53" i="27"/>
  <c r="U53" i="27"/>
  <c r="W53" i="27"/>
  <c r="X53" i="27"/>
  <c r="Z53" i="27"/>
  <c r="AA53" i="27"/>
  <c r="AE53" i="27"/>
  <c r="J54" i="27"/>
  <c r="K54" i="27"/>
  <c r="P54" i="27"/>
  <c r="Q54" i="27"/>
  <c r="S54" i="27"/>
  <c r="T54" i="27" s="1"/>
  <c r="U54" i="27"/>
  <c r="W54" i="27"/>
  <c r="X54" i="27"/>
  <c r="Z54" i="27"/>
  <c r="AA54" i="27"/>
  <c r="AE54" i="27"/>
  <c r="J50" i="27"/>
  <c r="K50" i="27"/>
  <c r="P50" i="27"/>
  <c r="Q50" i="27"/>
  <c r="S50" i="27"/>
  <c r="U50" i="27" s="1"/>
  <c r="T50" i="27"/>
  <c r="W50" i="27"/>
  <c r="X50" i="27"/>
  <c r="Z50" i="27"/>
  <c r="AA50" i="27"/>
  <c r="AE50" i="27"/>
  <c r="J48" i="27"/>
  <c r="K48" i="27"/>
  <c r="P48" i="27"/>
  <c r="Q48" i="27"/>
  <c r="S48" i="27"/>
  <c r="T48" i="27" s="1"/>
  <c r="W48" i="27"/>
  <c r="X48" i="27"/>
  <c r="Z48" i="27"/>
  <c r="AA48" i="27"/>
  <c r="AE48" i="27"/>
  <c r="J47" i="27"/>
  <c r="K47" i="27"/>
  <c r="P47" i="27"/>
  <c r="Q47" i="27"/>
  <c r="S47" i="27"/>
  <c r="U47" i="27" s="1"/>
  <c r="T47" i="27"/>
  <c r="W47" i="27"/>
  <c r="X47" i="27"/>
  <c r="Z47" i="27"/>
  <c r="AA47" i="27"/>
  <c r="AE47" i="27"/>
  <c r="J42" i="27"/>
  <c r="K42" i="27"/>
  <c r="P42" i="27"/>
  <c r="Q42" i="27"/>
  <c r="S42" i="27"/>
  <c r="U42" i="27" s="1"/>
  <c r="T42" i="27"/>
  <c r="W42" i="27"/>
  <c r="X42" i="27"/>
  <c r="Z42" i="27"/>
  <c r="AA42" i="27"/>
  <c r="AE42" i="27"/>
  <c r="J18" i="27"/>
  <c r="K18" i="27"/>
  <c r="P18" i="27"/>
  <c r="Q18" i="27"/>
  <c r="S18" i="27"/>
  <c r="T18" i="27" s="1"/>
  <c r="U18" i="27"/>
  <c r="W18" i="27"/>
  <c r="X18" i="27"/>
  <c r="Z18" i="27"/>
  <c r="AA18" i="27"/>
  <c r="AE18" i="27"/>
  <c r="J17" i="27"/>
  <c r="K17" i="27"/>
  <c r="P17" i="27"/>
  <c r="Q17" i="27"/>
  <c r="S17" i="27"/>
  <c r="U17" i="27" s="1"/>
  <c r="T17" i="27"/>
  <c r="W17" i="27"/>
  <c r="X17" i="27"/>
  <c r="Z17" i="27"/>
  <c r="AA17" i="27"/>
  <c r="AE17" i="27"/>
  <c r="J9" i="27"/>
  <c r="K9" i="27"/>
  <c r="P9" i="27"/>
  <c r="Q9" i="27"/>
  <c r="S9" i="27"/>
  <c r="T9" i="27" s="1"/>
  <c r="W9" i="27"/>
  <c r="X9" i="27"/>
  <c r="Z9" i="27"/>
  <c r="AA9" i="27"/>
  <c r="AE9" i="27"/>
  <c r="J6" i="27"/>
  <c r="K6" i="27"/>
  <c r="P6" i="27"/>
  <c r="Q6" i="27"/>
  <c r="S6" i="27"/>
  <c r="U6" i="27" s="1"/>
  <c r="W6" i="27"/>
  <c r="X6" i="27"/>
  <c r="Z6" i="27"/>
  <c r="AA6" i="27"/>
  <c r="AE6" i="27"/>
  <c r="J4" i="27"/>
  <c r="K4" i="27"/>
  <c r="P4" i="27"/>
  <c r="Q4" i="27"/>
  <c r="S4" i="27"/>
  <c r="U4" i="27" s="1"/>
  <c r="W4" i="27"/>
  <c r="X4" i="27"/>
  <c r="Z4" i="27"/>
  <c r="AA4" i="27"/>
  <c r="AE4" i="27"/>
  <c r="U95" i="27" l="1"/>
  <c r="U144" i="27"/>
  <c r="U150" i="27"/>
  <c r="U176" i="27"/>
  <c r="U274" i="27"/>
  <c r="U277" i="27"/>
  <c r="U362" i="27"/>
  <c r="T141" i="27"/>
  <c r="T140" i="27"/>
  <c r="U142" i="27"/>
  <c r="T143" i="27"/>
  <c r="T152" i="27"/>
  <c r="T175" i="27"/>
  <c r="T234" i="27"/>
  <c r="T235" i="27"/>
  <c r="T237" i="27"/>
  <c r="T239" i="27"/>
  <c r="T281" i="27"/>
  <c r="U284" i="27"/>
  <c r="U285" i="27"/>
  <c r="T317" i="27"/>
  <c r="T363" i="27"/>
  <c r="T373" i="27"/>
  <c r="T383" i="27"/>
  <c r="U97" i="27"/>
  <c r="U211" i="27"/>
  <c r="U257" i="27"/>
  <c r="U276" i="27"/>
  <c r="U282" i="27"/>
  <c r="U289" i="27"/>
  <c r="U302" i="27"/>
  <c r="U320" i="27"/>
  <c r="U332" i="27"/>
  <c r="T255" i="27"/>
  <c r="T264" i="27"/>
  <c r="T306" i="27"/>
  <c r="T313" i="27"/>
  <c r="T337" i="27"/>
  <c r="T339" i="27"/>
  <c r="T340" i="27"/>
  <c r="U48" i="27"/>
  <c r="U57" i="27"/>
  <c r="U138" i="27"/>
  <c r="U146" i="27"/>
  <c r="U151" i="27"/>
  <c r="U177" i="27"/>
  <c r="U212" i="27"/>
  <c r="U230" i="27"/>
  <c r="U240" i="27"/>
  <c r="U256" i="27"/>
  <c r="T4" i="27"/>
  <c r="T6" i="27"/>
  <c r="T59" i="27"/>
  <c r="T76" i="27"/>
  <c r="T86" i="27"/>
  <c r="U96" i="27"/>
  <c r="T196" i="27"/>
  <c r="T197" i="27"/>
  <c r="U213" i="27"/>
  <c r="T134" i="27"/>
  <c r="T145" i="27"/>
  <c r="T223" i="27"/>
  <c r="U222" i="27"/>
  <c r="T221" i="27"/>
  <c r="T226" i="27"/>
  <c r="T224" i="27"/>
  <c r="T231" i="27"/>
  <c r="T254" i="27"/>
  <c r="U9" i="27"/>
  <c r="F26" i="31"/>
  <c r="H64" i="29" l="1"/>
  <c r="G64" i="29"/>
  <c r="F64" i="29"/>
  <c r="E64" i="29"/>
  <c r="D64" i="29"/>
  <c r="C64" i="29"/>
  <c r="B64" i="29"/>
  <c r="H65" i="29"/>
  <c r="G65" i="29"/>
  <c r="F65" i="29"/>
  <c r="E65" i="29"/>
  <c r="D65" i="29"/>
  <c r="C65" i="29"/>
  <c r="B65" i="29"/>
  <c r="J238" i="27"/>
  <c r="K238" i="27"/>
  <c r="P238" i="27"/>
  <c r="Q238" i="27"/>
  <c r="S238" i="27"/>
  <c r="T238" i="27" s="1"/>
  <c r="W238" i="27"/>
  <c r="X238" i="27"/>
  <c r="Z238" i="27"/>
  <c r="AA238" i="27"/>
  <c r="AE238" i="27"/>
  <c r="J236" i="27"/>
  <c r="K236" i="27"/>
  <c r="P236" i="27"/>
  <c r="Q236" i="27"/>
  <c r="S236" i="27"/>
  <c r="T236" i="27" s="1"/>
  <c r="W236" i="27"/>
  <c r="X236" i="27"/>
  <c r="Z236" i="27"/>
  <c r="AA236" i="27"/>
  <c r="AE236" i="27"/>
  <c r="L62" i="27"/>
  <c r="L61" i="27"/>
  <c r="L60" i="27"/>
  <c r="J60" i="27"/>
  <c r="K60" i="27"/>
  <c r="P60" i="27"/>
  <c r="Q60" i="27"/>
  <c r="S60" i="27"/>
  <c r="T60" i="27" s="1"/>
  <c r="W60" i="27"/>
  <c r="X60" i="27"/>
  <c r="Z60" i="27"/>
  <c r="AA60" i="27"/>
  <c r="AE60" i="27"/>
  <c r="J61" i="27"/>
  <c r="K61" i="27"/>
  <c r="P61" i="27"/>
  <c r="Q61" i="27"/>
  <c r="S61" i="27"/>
  <c r="U61" i="27" s="1"/>
  <c r="W61" i="27"/>
  <c r="X61" i="27"/>
  <c r="Z61" i="27"/>
  <c r="AA61" i="27"/>
  <c r="AE61" i="27"/>
  <c r="J62" i="27"/>
  <c r="K62" i="27"/>
  <c r="P62" i="27"/>
  <c r="Q62" i="27"/>
  <c r="S62" i="27"/>
  <c r="U62" i="27" s="1"/>
  <c r="W62" i="27"/>
  <c r="X62" i="27"/>
  <c r="Z62" i="27"/>
  <c r="AA62" i="27"/>
  <c r="AE62" i="27"/>
  <c r="J63" i="27"/>
  <c r="K63" i="27"/>
  <c r="P63" i="27"/>
  <c r="Q63" i="27"/>
  <c r="S63" i="27"/>
  <c r="U63" i="27" s="1"/>
  <c r="W63" i="27"/>
  <c r="X63" i="27"/>
  <c r="Z63" i="27"/>
  <c r="AA63" i="27"/>
  <c r="AE63" i="27"/>
  <c r="J65" i="27"/>
  <c r="K65" i="27"/>
  <c r="P65" i="27"/>
  <c r="Q65" i="27"/>
  <c r="S65" i="27"/>
  <c r="U65" i="27" s="1"/>
  <c r="W65" i="27"/>
  <c r="X65" i="27"/>
  <c r="Z65" i="27"/>
  <c r="AA65" i="27"/>
  <c r="AE65" i="27"/>
  <c r="J66" i="27"/>
  <c r="K66" i="27"/>
  <c r="P66" i="27"/>
  <c r="Q66" i="27"/>
  <c r="S66" i="27"/>
  <c r="U66" i="27" s="1"/>
  <c r="T66" i="27"/>
  <c r="W66" i="27"/>
  <c r="X66" i="27"/>
  <c r="Z66" i="27"/>
  <c r="AA66" i="27"/>
  <c r="AE66" i="27"/>
  <c r="H40" i="29"/>
  <c r="G40" i="29"/>
  <c r="E40" i="29"/>
  <c r="F40" i="29"/>
  <c r="D40" i="29"/>
  <c r="L104" i="27"/>
  <c r="J43" i="27"/>
  <c r="K43" i="27"/>
  <c r="P43" i="27"/>
  <c r="Q43" i="27"/>
  <c r="T43" i="27"/>
  <c r="U43" i="27"/>
  <c r="W43" i="27"/>
  <c r="X43" i="27"/>
  <c r="Z43" i="27"/>
  <c r="AA43" i="27"/>
  <c r="AE43" i="27"/>
  <c r="J44" i="27"/>
  <c r="K44" i="27"/>
  <c r="P44" i="27"/>
  <c r="Q44" i="27"/>
  <c r="T44" i="27"/>
  <c r="U44" i="27"/>
  <c r="W44" i="27"/>
  <c r="X44" i="27"/>
  <c r="Z44" i="27"/>
  <c r="AA44" i="27"/>
  <c r="AE44" i="27"/>
  <c r="J338" i="27"/>
  <c r="J336" i="27"/>
  <c r="J335" i="27"/>
  <c r="J334" i="27"/>
  <c r="J329" i="27"/>
  <c r="J328" i="27"/>
  <c r="J325" i="27"/>
  <c r="J321" i="27"/>
  <c r="K338" i="27"/>
  <c r="K336" i="27"/>
  <c r="K335" i="27"/>
  <c r="K334" i="27"/>
  <c r="K329" i="27"/>
  <c r="K328" i="27"/>
  <c r="K325" i="27"/>
  <c r="K321" i="27"/>
  <c r="L325" i="27"/>
  <c r="L321" i="27"/>
  <c r="L338" i="27"/>
  <c r="L336" i="27"/>
  <c r="L335" i="27"/>
  <c r="L334" i="27"/>
  <c r="L329" i="27"/>
  <c r="L258" i="27"/>
  <c r="L90" i="27"/>
  <c r="L303" i="27"/>
  <c r="L307" i="27"/>
  <c r="L298" i="27"/>
  <c r="L32" i="27"/>
  <c r="L262" i="27"/>
  <c r="L203" i="27"/>
  <c r="L139" i="27"/>
  <c r="T65" i="27" l="1"/>
  <c r="U236" i="27"/>
  <c r="T61" i="27"/>
  <c r="U238" i="27"/>
  <c r="T63" i="27"/>
  <c r="T62" i="27"/>
  <c r="U60" i="27"/>
  <c r="B3" i="31"/>
  <c r="U296" i="27" l="1"/>
  <c r="T126" i="27"/>
  <c r="T55" i="27"/>
  <c r="T296" i="27"/>
  <c r="T388" i="27"/>
  <c r="T103" i="27"/>
  <c r="T69" i="27"/>
  <c r="T366" i="27"/>
  <c r="T102" i="27"/>
  <c r="T180" i="27"/>
  <c r="T181" i="27"/>
  <c r="T182" i="27"/>
  <c r="T290" i="27"/>
  <c r="T291" i="27"/>
  <c r="T390" i="27"/>
  <c r="T391" i="27"/>
  <c r="T392" i="27"/>
  <c r="T80" i="27"/>
  <c r="T81" i="27"/>
  <c r="T179" i="27"/>
  <c r="T184" i="27"/>
  <c r="T183" i="27"/>
  <c r="T2" i="27"/>
  <c r="T3" i="27"/>
  <c r="T169" i="27"/>
  <c r="T170" i="27"/>
  <c r="T195" i="27"/>
  <c r="T367" i="27"/>
  <c r="T368" i="27"/>
  <c r="T369" i="27"/>
  <c r="T7" i="27"/>
  <c r="T8" i="27"/>
  <c r="T10" i="27"/>
  <c r="T12" i="27"/>
  <c r="T13" i="27"/>
  <c r="T14" i="27"/>
  <c r="T191" i="27"/>
  <c r="T381" i="27"/>
  <c r="T382" i="27"/>
  <c r="T75" i="27"/>
  <c r="T77" i="27"/>
  <c r="T260" i="27"/>
  <c r="T263" i="27"/>
  <c r="T165" i="27"/>
  <c r="T168" i="27"/>
  <c r="T166" i="27"/>
  <c r="T84" i="27"/>
  <c r="T164" i="27"/>
  <c r="T304" i="27"/>
  <c r="T305" i="27"/>
  <c r="T346" i="27"/>
  <c r="T347" i="27"/>
  <c r="T157" i="27"/>
  <c r="T159" i="27"/>
  <c r="T160" i="27"/>
  <c r="T163" i="27"/>
  <c r="T82" i="27"/>
  <c r="T83" i="27"/>
  <c r="T85" i="27"/>
  <c r="T30" i="27"/>
  <c r="T371" i="27"/>
  <c r="T310" i="27"/>
  <c r="T312" i="27"/>
  <c r="T345" i="27"/>
  <c r="T348" i="27"/>
  <c r="T28" i="27"/>
  <c r="T27" i="27"/>
  <c r="T29" i="27"/>
  <c r="T19" i="27"/>
  <c r="T24" i="27"/>
  <c r="T20" i="27"/>
  <c r="T21" i="27"/>
  <c r="T22" i="27"/>
  <c r="T23" i="27"/>
  <c r="T352" i="27"/>
  <c r="T200" i="27"/>
  <c r="T358" i="27"/>
  <c r="T309" i="27"/>
  <c r="T311" i="27"/>
  <c r="T35" i="27"/>
  <c r="T39" i="27"/>
  <c r="T40" i="27"/>
  <c r="T64" i="27"/>
  <c r="T67" i="27"/>
  <c r="T107" i="27"/>
  <c r="T108" i="27"/>
  <c r="T109" i="27"/>
  <c r="T110" i="27"/>
  <c r="T246" i="27"/>
  <c r="T270" i="27"/>
  <c r="T271" i="27"/>
  <c r="T272" i="27"/>
  <c r="T5" i="27"/>
  <c r="T31" i="27"/>
  <c r="T34" i="27"/>
  <c r="T154" i="27"/>
  <c r="T155" i="27"/>
  <c r="T158" i="27"/>
  <c r="T161" i="27"/>
  <c r="T167" i="27"/>
  <c r="T219" i="27"/>
  <c r="T378" i="27"/>
  <c r="T379" i="27"/>
  <c r="T380" i="27"/>
  <c r="T267" i="27"/>
  <c r="T194" i="27"/>
  <c r="T172" i="27"/>
  <c r="T192" i="27"/>
  <c r="T193" i="27"/>
  <c r="T198" i="27"/>
  <c r="T201" i="27"/>
  <c r="T202" i="27"/>
  <c r="T204" i="27"/>
  <c r="T295" i="27"/>
  <c r="T376" i="27"/>
  <c r="T377" i="27"/>
  <c r="T314" i="27"/>
  <c r="T78" i="27"/>
  <c r="T79" i="27"/>
  <c r="T105" i="27"/>
  <c r="T178" i="27"/>
  <c r="T259" i="27"/>
  <c r="T261" i="27"/>
  <c r="T333" i="27"/>
  <c r="T111" i="27"/>
  <c r="T112" i="27"/>
  <c r="T113" i="27"/>
  <c r="T137" i="27"/>
  <c r="T321" i="27"/>
  <c r="T325" i="27"/>
  <c r="T328" i="27"/>
  <c r="T329" i="27"/>
  <c r="T334" i="27"/>
  <c r="T335" i="27"/>
  <c r="T336" i="27"/>
  <c r="T354" i="27"/>
  <c r="T37" i="27"/>
  <c r="T45" i="27"/>
  <c r="T46" i="27"/>
  <c r="T49" i="27"/>
  <c r="T51" i="27"/>
  <c r="T52" i="27"/>
  <c r="T56" i="27"/>
  <c r="T58" i="27"/>
  <c r="T114" i="27"/>
  <c r="T115" i="27"/>
  <c r="T372" i="27"/>
  <c r="T370" i="27"/>
  <c r="T374" i="27"/>
  <c r="T375" i="27"/>
  <c r="T269" i="27"/>
  <c r="T308" i="27"/>
  <c r="T360" i="27"/>
  <c r="T343" i="27"/>
  <c r="T351" i="27"/>
  <c r="T116" i="27"/>
  <c r="T117" i="27"/>
  <c r="T118" i="27"/>
  <c r="T119" i="27"/>
  <c r="T120" i="27"/>
  <c r="T121" i="27"/>
  <c r="T122" i="27"/>
  <c r="T123" i="27"/>
  <c r="T25" i="27"/>
  <c r="T33" i="27"/>
  <c r="T36" i="27"/>
  <c r="T41" i="27"/>
  <c r="T74" i="27"/>
  <c r="T124" i="27"/>
  <c r="T125" i="27"/>
  <c r="T127" i="27"/>
  <c r="T128" i="27"/>
  <c r="T129" i="27"/>
  <c r="T153" i="27"/>
  <c r="T356" i="27"/>
  <c r="T344" i="27"/>
  <c r="T242" i="27"/>
  <c r="T359" i="27"/>
  <c r="T241" i="27"/>
  <c r="T248" i="27"/>
  <c r="T349" i="27"/>
  <c r="T355" i="27"/>
  <c r="T253" i="27"/>
  <c r="T243" i="27"/>
  <c r="T353" i="27"/>
  <c r="T361" i="27"/>
  <c r="T247" i="27"/>
  <c r="T357" i="27"/>
  <c r="T251" i="27"/>
  <c r="T250" i="27"/>
  <c r="T244" i="27"/>
  <c r="T199" i="27"/>
  <c r="T218" i="27"/>
  <c r="T38" i="27"/>
  <c r="T70" i="27"/>
  <c r="T71" i="27"/>
  <c r="T72" i="27"/>
  <c r="T130" i="27"/>
  <c r="T156" i="27"/>
  <c r="T350" i="27"/>
  <c r="T342" i="27"/>
  <c r="T11" i="27"/>
  <c r="T73" i="27"/>
  <c r="T16" i="27"/>
  <c r="T68" i="27"/>
  <c r="T171" i="27"/>
  <c r="T318" i="27"/>
  <c r="T245" i="27"/>
  <c r="T104" i="27"/>
  <c r="T139" i="27"/>
  <c r="T203" i="27"/>
  <c r="T262" i="27"/>
  <c r="T338" i="27"/>
  <c r="T32" i="27"/>
  <c r="T15" i="27"/>
  <c r="T187" i="27"/>
  <c r="T189" i="27"/>
  <c r="T364" i="27"/>
  <c r="T365" i="27"/>
  <c r="T186" i="27"/>
  <c r="T188" i="27"/>
  <c r="T190" i="27"/>
  <c r="T185" i="27"/>
  <c r="T298" i="27"/>
  <c r="T307" i="27"/>
  <c r="T303" i="27"/>
  <c r="T90" i="27"/>
  <c r="T26" i="27"/>
  <c r="T258" i="27"/>
  <c r="T162" i="27"/>
  <c r="L26" i="27"/>
  <c r="L245" i="27" l="1"/>
  <c r="C26" i="31" l="1"/>
  <c r="J162" i="27" l="1"/>
  <c r="K162" i="27"/>
  <c r="P162" i="27"/>
  <c r="Q162" i="27"/>
  <c r="U162" i="27"/>
  <c r="W162" i="27"/>
  <c r="X162" i="27"/>
  <c r="Z162" i="27"/>
  <c r="AA162" i="27"/>
  <c r="AE162" i="27"/>
  <c r="W381" i="27" l="1"/>
  <c r="W382" i="27"/>
  <c r="W75" i="27"/>
  <c r="W77" i="27"/>
  <c r="W260" i="27"/>
  <c r="W263" i="27"/>
  <c r="W165" i="27"/>
  <c r="W168" i="27"/>
  <c r="W166" i="27"/>
  <c r="W84" i="27"/>
  <c r="W164" i="27"/>
  <c r="W304" i="27"/>
  <c r="W305" i="27"/>
  <c r="W346" i="27"/>
  <c r="W347" i="27"/>
  <c r="W157" i="27"/>
  <c r="W159" i="27"/>
  <c r="W160" i="27"/>
  <c r="W163" i="27"/>
  <c r="W82" i="27"/>
  <c r="W83" i="27"/>
  <c r="W85" i="27"/>
  <c r="W30" i="27"/>
  <c r="W371" i="27"/>
  <c r="W310" i="27"/>
  <c r="W312" i="27"/>
  <c r="W345" i="27"/>
  <c r="W348" i="27"/>
  <c r="W28" i="27"/>
  <c r="W27" i="27"/>
  <c r="W29" i="27"/>
  <c r="W19" i="27"/>
  <c r="W24" i="27"/>
  <c r="W20" i="27"/>
  <c r="W21" i="27"/>
  <c r="W22" i="27"/>
  <c r="W23" i="27"/>
  <c r="W352" i="27"/>
  <c r="W200" i="27"/>
  <c r="W358" i="27"/>
  <c r="W309" i="27"/>
  <c r="W311" i="27"/>
  <c r="W35" i="27"/>
  <c r="W39" i="27"/>
  <c r="W40" i="27"/>
  <c r="W64" i="27"/>
  <c r="W67" i="27"/>
  <c r="W107" i="27"/>
  <c r="W108" i="27"/>
  <c r="W109" i="27"/>
  <c r="W110" i="27"/>
  <c r="W246" i="27"/>
  <c r="W270" i="27"/>
  <c r="W271" i="27"/>
  <c r="W272" i="27"/>
  <c r="W5" i="27"/>
  <c r="W31" i="27"/>
  <c r="W34" i="27"/>
  <c r="W154" i="27"/>
  <c r="W155" i="27"/>
  <c r="W158" i="27"/>
  <c r="W161" i="27"/>
  <c r="W167" i="27"/>
  <c r="W219" i="27"/>
  <c r="W378" i="27"/>
  <c r="W379" i="27"/>
  <c r="W380" i="27"/>
  <c r="W267" i="27"/>
  <c r="W194" i="27"/>
  <c r="W172" i="27"/>
  <c r="W192" i="27"/>
  <c r="W193" i="27"/>
  <c r="W198" i="27"/>
  <c r="W201" i="27"/>
  <c r="W202" i="27"/>
  <c r="W204" i="27"/>
  <c r="W295" i="27"/>
  <c r="W376" i="27"/>
  <c r="W377" i="27"/>
  <c r="W314" i="27"/>
  <c r="W78" i="27"/>
  <c r="W79" i="27"/>
  <c r="W105" i="27"/>
  <c r="W178" i="27"/>
  <c r="W259" i="27"/>
  <c r="W261" i="27"/>
  <c r="W333" i="27"/>
  <c r="W111" i="27"/>
  <c r="W112" i="27"/>
  <c r="W113" i="27"/>
  <c r="W137" i="27"/>
  <c r="W321" i="27"/>
  <c r="W325" i="27"/>
  <c r="W328" i="27"/>
  <c r="W329" i="27"/>
  <c r="W334" i="27"/>
  <c r="W335" i="27"/>
  <c r="W336" i="27"/>
  <c r="W354" i="27"/>
  <c r="W37" i="27"/>
  <c r="W45" i="27"/>
  <c r="W46" i="27"/>
  <c r="W49" i="27"/>
  <c r="W51" i="27"/>
  <c r="W52" i="27"/>
  <c r="W56" i="27"/>
  <c r="W58" i="27"/>
  <c r="W114" i="27"/>
  <c r="W115" i="27"/>
  <c r="W372" i="27"/>
  <c r="W370" i="27"/>
  <c r="W374" i="27"/>
  <c r="W375" i="27"/>
  <c r="W269" i="27"/>
  <c r="W308" i="27"/>
  <c r="W360" i="27"/>
  <c r="W343" i="27"/>
  <c r="W351" i="27"/>
  <c r="W116" i="27"/>
  <c r="W117" i="27"/>
  <c r="W118" i="27"/>
  <c r="W119" i="27"/>
  <c r="W120" i="27"/>
  <c r="W121" i="27"/>
  <c r="W122" i="27"/>
  <c r="W123" i="27"/>
  <c r="W25" i="27"/>
  <c r="W33" i="27"/>
  <c r="W36" i="27"/>
  <c r="W41" i="27"/>
  <c r="W74" i="27"/>
  <c r="W124" i="27"/>
  <c r="W125" i="27"/>
  <c r="W127" i="27"/>
  <c r="W128" i="27"/>
  <c r="W129" i="27"/>
  <c r="W153" i="27"/>
  <c r="W356" i="27"/>
  <c r="W344" i="27"/>
  <c r="W242" i="27"/>
  <c r="W359" i="27"/>
  <c r="W241" i="27"/>
  <c r="W248" i="27"/>
  <c r="W349" i="27"/>
  <c r="W355" i="27"/>
  <c r="W253" i="27"/>
  <c r="W243" i="27"/>
  <c r="W353" i="27"/>
  <c r="W361" i="27"/>
  <c r="W247" i="27"/>
  <c r="W357" i="27"/>
  <c r="W251" i="27"/>
  <c r="W250" i="27"/>
  <c r="W244" i="27"/>
  <c r="W199" i="27"/>
  <c r="W218" i="27"/>
  <c r="W38" i="27"/>
  <c r="W70" i="27"/>
  <c r="W71" i="27"/>
  <c r="W72" i="27"/>
  <c r="W130" i="27"/>
  <c r="W156" i="27"/>
  <c r="W350" i="27"/>
  <c r="W342" i="27"/>
  <c r="W11" i="27"/>
  <c r="W73" i="27"/>
  <c r="W16" i="27"/>
  <c r="W68" i="27"/>
  <c r="W171" i="27"/>
  <c r="W318" i="27"/>
  <c r="W245" i="27"/>
  <c r="W104" i="27"/>
  <c r="W139" i="27"/>
  <c r="W203" i="27"/>
  <c r="W262" i="27"/>
  <c r="W338" i="27"/>
  <c r="W32" i="27"/>
  <c r="W15" i="27"/>
  <c r="W187" i="27"/>
  <c r="W189" i="27"/>
  <c r="W364" i="27"/>
  <c r="W365" i="27"/>
  <c r="W186" i="27"/>
  <c r="W188" i="27"/>
  <c r="W190" i="27"/>
  <c r="W185" i="27"/>
  <c r="W298" i="27"/>
  <c r="W307" i="27"/>
  <c r="W303" i="27"/>
  <c r="W90" i="27"/>
  <c r="W26" i="27"/>
  <c r="W258" i="27"/>
  <c r="W296" i="27"/>
  <c r="W388" i="27"/>
  <c r="W103" i="27"/>
  <c r="W69" i="27"/>
  <c r="W366" i="27"/>
  <c r="W102" i="27"/>
  <c r="W180" i="27"/>
  <c r="W181" i="27"/>
  <c r="W182" i="27"/>
  <c r="W290" i="27"/>
  <c r="W291" i="27"/>
  <c r="W390" i="27"/>
  <c r="W391" i="27"/>
  <c r="W392" i="27"/>
  <c r="W80" i="27"/>
  <c r="W81" i="27"/>
  <c r="W179" i="27"/>
  <c r="W184" i="27"/>
  <c r="W183" i="27"/>
  <c r="W2" i="27"/>
  <c r="W3" i="27"/>
  <c r="W169" i="27"/>
  <c r="W170" i="27"/>
  <c r="W195" i="27"/>
  <c r="W367" i="27"/>
  <c r="W368" i="27"/>
  <c r="W369" i="27"/>
  <c r="W7" i="27"/>
  <c r="W8" i="27"/>
  <c r="W10" i="27"/>
  <c r="W12" i="27"/>
  <c r="W13" i="27"/>
  <c r="W14" i="27"/>
  <c r="W191" i="27"/>
  <c r="W55" i="27"/>
  <c r="J258" i="27"/>
  <c r="K258" i="27"/>
  <c r="P258" i="27"/>
  <c r="Q258" i="27"/>
  <c r="U258" i="27"/>
  <c r="X258" i="27"/>
  <c r="Z258" i="27"/>
  <c r="AA258" i="27"/>
  <c r="AE258" i="27"/>
  <c r="B1" i="31" l="1"/>
  <c r="D16" i="31"/>
  <c r="L55" i="27" l="1"/>
  <c r="L126" i="27"/>
  <c r="L263" i="27"/>
  <c r="J263" i="27"/>
  <c r="K263" i="27"/>
  <c r="P263" i="27"/>
  <c r="Q263" i="27"/>
  <c r="U263" i="27"/>
  <c r="X263" i="27"/>
  <c r="Z263" i="27"/>
  <c r="AA263" i="27"/>
  <c r="AE263" i="27"/>
  <c r="J26" i="27"/>
  <c r="K26" i="27"/>
  <c r="P26" i="27"/>
  <c r="Q26" i="27"/>
  <c r="U26" i="27"/>
  <c r="X26" i="27"/>
  <c r="Z26" i="27"/>
  <c r="AA26" i="27"/>
  <c r="AE26" i="27"/>
  <c r="L184" i="27"/>
  <c r="L183" i="27"/>
  <c r="L260" i="27"/>
  <c r="J260" i="27" l="1"/>
  <c r="K260" i="27"/>
  <c r="P260" i="27"/>
  <c r="Q260" i="27"/>
  <c r="U260" i="27"/>
  <c r="X260" i="27"/>
  <c r="Z260" i="27"/>
  <c r="AA260" i="27"/>
  <c r="AE260" i="27"/>
  <c r="L367" i="27" l="1"/>
  <c r="L369" i="27"/>
  <c r="J367" i="27"/>
  <c r="K367" i="27"/>
  <c r="P367" i="27"/>
  <c r="Q367" i="27"/>
  <c r="U367" i="27"/>
  <c r="X367" i="27"/>
  <c r="Z367" i="27"/>
  <c r="AA367" i="27"/>
  <c r="AE367" i="27"/>
  <c r="J368" i="27"/>
  <c r="K368" i="27"/>
  <c r="P368" i="27"/>
  <c r="Q368" i="27"/>
  <c r="U368" i="27"/>
  <c r="X368" i="27"/>
  <c r="Z368" i="27"/>
  <c r="AA368" i="27"/>
  <c r="AE368" i="27"/>
  <c r="J369" i="27"/>
  <c r="K369" i="27"/>
  <c r="P369" i="27"/>
  <c r="Q369" i="27"/>
  <c r="U369" i="27"/>
  <c r="X369" i="27"/>
  <c r="Z369" i="27"/>
  <c r="AA369" i="27"/>
  <c r="AE369" i="27"/>
  <c r="L182" i="27" l="1"/>
  <c r="L180" i="27"/>
  <c r="J180" i="27"/>
  <c r="K180" i="27"/>
  <c r="P180" i="27"/>
  <c r="Q180" i="27"/>
  <c r="U180" i="27"/>
  <c r="X180" i="27"/>
  <c r="Z180" i="27"/>
  <c r="AA180" i="27"/>
  <c r="AE180" i="27"/>
  <c r="P181" i="27"/>
  <c r="Q181" i="27"/>
  <c r="U181" i="27"/>
  <c r="X181" i="27"/>
  <c r="Z181" i="27"/>
  <c r="AA181" i="27"/>
  <c r="AE181" i="27"/>
  <c r="J182" i="27"/>
  <c r="K182" i="27"/>
  <c r="P182" i="27"/>
  <c r="Q182" i="27"/>
  <c r="X182" i="27"/>
  <c r="Z182" i="27"/>
  <c r="AA182" i="27"/>
  <c r="AE182" i="27"/>
  <c r="L73" i="27"/>
  <c r="L179" i="27"/>
  <c r="U182" i="27" l="1"/>
  <c r="L392" i="27"/>
  <c r="L391" i="27"/>
  <c r="L390" i="27"/>
  <c r="L291" i="27"/>
  <c r="L290" i="27"/>
  <c r="L195" i="27"/>
  <c r="L189" i="27"/>
  <c r="L171" i="27"/>
  <c r="L170" i="27"/>
  <c r="L169" i="27"/>
  <c r="L68" i="27"/>
  <c r="L3" i="27"/>
  <c r="L2" i="27"/>
  <c r="L102" i="27"/>
  <c r="L366" i="27"/>
  <c r="L69" i="27"/>
  <c r="L388" i="27"/>
  <c r="L103" i="27"/>
  <c r="L14" i="27"/>
  <c r="L13" i="27"/>
  <c r="L12" i="27"/>
  <c r="L11" i="27"/>
  <c r="L10" i="27"/>
  <c r="L8" i="27"/>
  <c r="L7" i="27"/>
  <c r="L296" i="27"/>
  <c r="H6" i="29" l="1"/>
  <c r="G6" i="29"/>
  <c r="F6" i="29"/>
  <c r="E6" i="29"/>
  <c r="D6" i="29"/>
  <c r="C6" i="29"/>
  <c r="B6" i="29"/>
  <c r="B5" i="29"/>
  <c r="H5" i="29"/>
  <c r="G5" i="29"/>
  <c r="F5" i="29"/>
  <c r="E5" i="29"/>
  <c r="D5" i="29"/>
  <c r="C5" i="29"/>
  <c r="L342" i="27"/>
  <c r="L350" i="27"/>
  <c r="L200" i="27"/>
  <c r="L156" i="27"/>
  <c r="L81" i="27"/>
  <c r="L80" i="27"/>
  <c r="L72" i="27"/>
  <c r="L71" i="27"/>
  <c r="L70" i="27"/>
  <c r="L38" i="27"/>
  <c r="L218" i="27"/>
  <c r="L199" i="27"/>
  <c r="L244" i="27"/>
  <c r="L250" i="27"/>
  <c r="L251" i="27"/>
  <c r="L357" i="27"/>
  <c r="L247" i="27"/>
  <c r="L361" i="27"/>
  <c r="L353" i="27"/>
  <c r="L243" i="27"/>
  <c r="L253" i="27"/>
  <c r="L355" i="27"/>
  <c r="L349" i="27"/>
  <c r="L248" i="27"/>
  <c r="L241" i="27"/>
  <c r="L359" i="27"/>
  <c r="L242" i="27"/>
  <c r="L344" i="27"/>
  <c r="L356" i="27"/>
  <c r="L29" i="27"/>
  <c r="L153" i="27"/>
  <c r="L117" i="27"/>
  <c r="L112" i="27"/>
  <c r="L108" i="27"/>
  <c r="L74" i="27"/>
  <c r="L41" i="27"/>
  <c r="L36" i="27"/>
  <c r="L33" i="27"/>
  <c r="L124" i="27"/>
  <c r="L120" i="27"/>
  <c r="L119" i="27"/>
  <c r="L118" i="27"/>
  <c r="L116" i="27"/>
  <c r="L114" i="27"/>
  <c r="L113" i="27"/>
  <c r="L27" i="27"/>
  <c r="L351" i="27"/>
  <c r="L343" i="27"/>
  <c r="L28" i="27"/>
  <c r="L360" i="27"/>
  <c r="L308" i="27"/>
  <c r="L269" i="27"/>
  <c r="L375" i="27"/>
  <c r="L374" i="27"/>
  <c r="L370" i="27"/>
  <c r="L372" i="27"/>
  <c r="L130" i="27"/>
  <c r="L122" i="27"/>
  <c r="L58" i="27"/>
  <c r="L51" i="27"/>
  <c r="L45" i="27"/>
  <c r="L37" i="27"/>
  <c r="L354" i="27"/>
  <c r="L328" i="27"/>
  <c r="L137" i="27"/>
  <c r="L123" i="27"/>
  <c r="L109" i="27"/>
  <c r="L107" i="27"/>
  <c r="L333" i="27"/>
  <c r="L178" i="27"/>
  <c r="L79" i="27"/>
  <c r="L78" i="27"/>
  <c r="L314" i="27"/>
  <c r="L377" i="27"/>
  <c r="L376" i="27"/>
  <c r="L295" i="27"/>
  <c r="L204" i="27"/>
  <c r="L202" i="27"/>
  <c r="L201" i="27"/>
  <c r="L198" i="27"/>
  <c r="L193" i="27"/>
  <c r="L192" i="27"/>
  <c r="L172" i="27"/>
  <c r="L194" i="27"/>
  <c r="L267" i="27"/>
  <c r="L380" i="27"/>
  <c r="L379" i="27"/>
  <c r="L378" i="27"/>
  <c r="L219" i="27"/>
  <c r="L167" i="27"/>
  <c r="L161" i="27"/>
  <c r="L158" i="27"/>
  <c r="L155" i="27"/>
  <c r="L154" i="27"/>
  <c r="L34" i="27"/>
  <c r="L31" i="27"/>
  <c r="L5" i="27"/>
  <c r="L272" i="27"/>
  <c r="L271" i="27"/>
  <c r="L270" i="27"/>
  <c r="L246" i="27"/>
  <c r="L67" i="27"/>
  <c r="L64" i="27"/>
  <c r="L40" i="27"/>
  <c r="L39" i="27"/>
  <c r="L35" i="27"/>
  <c r="L311" i="27"/>
  <c r="L309" i="27"/>
  <c r="L358" i="27"/>
  <c r="L352" i="27"/>
  <c r="L348" i="27"/>
  <c r="L345" i="27"/>
  <c r="L312" i="27"/>
  <c r="L310" i="27"/>
  <c r="L371" i="27"/>
  <c r="L30" i="27"/>
  <c r="L85" i="27"/>
  <c r="L83" i="27"/>
  <c r="L82" i="27"/>
  <c r="L163" i="27"/>
  <c r="L160" i="27"/>
  <c r="L159" i="27"/>
  <c r="L157" i="27"/>
  <c r="L347" i="27"/>
  <c r="L346" i="27"/>
  <c r="L318" i="27"/>
  <c r="L305" i="27"/>
  <c r="L304" i="27"/>
  <c r="L164" i="27"/>
  <c r="L84" i="27"/>
  <c r="L166" i="27"/>
  <c r="L168" i="27"/>
  <c r="L165" i="27"/>
  <c r="L77" i="27"/>
  <c r="L75" i="27"/>
  <c r="L382" i="27"/>
  <c r="L381" i="27"/>
  <c r="L191" i="27"/>
  <c r="L2" i="32"/>
  <c r="L3" i="32"/>
  <c r="L4" i="32"/>
  <c r="L5" i="32"/>
  <c r="L6" i="32"/>
  <c r="L7" i="32"/>
  <c r="L8" i="32"/>
  <c r="L9" i="32"/>
  <c r="L10" i="32"/>
  <c r="L11" i="32"/>
  <c r="L12" i="32"/>
  <c r="L13" i="32"/>
  <c r="L14" i="32"/>
  <c r="L15" i="32"/>
  <c r="N2" i="32"/>
  <c r="N3" i="32"/>
  <c r="N4" i="32"/>
  <c r="N5" i="32"/>
  <c r="N6" i="32"/>
  <c r="N7" i="32"/>
  <c r="N8" i="32"/>
  <c r="N9" i="32"/>
  <c r="N10" i="32"/>
  <c r="N11" i="32"/>
  <c r="N12" i="32"/>
  <c r="N13" i="32"/>
  <c r="N14" i="32"/>
  <c r="N15" i="32"/>
  <c r="I2" i="32" l="1"/>
  <c r="I3" i="32"/>
  <c r="I4" i="32"/>
  <c r="I5" i="32"/>
  <c r="I6" i="32"/>
  <c r="I7" i="32"/>
  <c r="I8" i="32"/>
  <c r="I9" i="32"/>
  <c r="I10" i="32"/>
  <c r="I11" i="32"/>
  <c r="I12" i="32"/>
  <c r="I13" i="32"/>
  <c r="I14" i="32"/>
  <c r="I15" i="32"/>
  <c r="H2" i="32"/>
  <c r="H3" i="32"/>
  <c r="H4" i="32"/>
  <c r="H5" i="32"/>
  <c r="H6" i="32"/>
  <c r="H7" i="32"/>
  <c r="H8" i="32"/>
  <c r="H9" i="32"/>
  <c r="H10" i="32"/>
  <c r="H11" i="32"/>
  <c r="H12" i="32"/>
  <c r="H13" i="32"/>
  <c r="H14" i="32"/>
  <c r="H15" i="32"/>
  <c r="J184" i="27" l="1"/>
  <c r="K184" i="27"/>
  <c r="P184" i="27"/>
  <c r="Q184" i="27"/>
  <c r="X184" i="27"/>
  <c r="Z184" i="27"/>
  <c r="AA184" i="27"/>
  <c r="AE184" i="27"/>
  <c r="J183" i="27"/>
  <c r="K183" i="27"/>
  <c r="P183" i="27"/>
  <c r="Q183" i="27"/>
  <c r="X183" i="27"/>
  <c r="Z183" i="27"/>
  <c r="AA183" i="27"/>
  <c r="AE183" i="27"/>
  <c r="U184" i="27" l="1"/>
  <c r="U183" i="27"/>
  <c r="Q5" i="27" l="1"/>
  <c r="Q19" i="27"/>
  <c r="Q20" i="27"/>
  <c r="Q21" i="27"/>
  <c r="Q22" i="27"/>
  <c r="Q23" i="27"/>
  <c r="Q24" i="27"/>
  <c r="Q25" i="27"/>
  <c r="Q27" i="27"/>
  <c r="Q28" i="27"/>
  <c r="Q29" i="27"/>
  <c r="Q30" i="27"/>
  <c r="Q31" i="27"/>
  <c r="Q33" i="27"/>
  <c r="Q34" i="27"/>
  <c r="Q35" i="27"/>
  <c r="Q36" i="27"/>
  <c r="Q37" i="27"/>
  <c r="Q38" i="27"/>
  <c r="Q39" i="27"/>
  <c r="Q40" i="27"/>
  <c r="Q41" i="27"/>
  <c r="Q45" i="27"/>
  <c r="Q46" i="27"/>
  <c r="Q49" i="27"/>
  <c r="Q51" i="27"/>
  <c r="Q52" i="27"/>
  <c r="Q56" i="27"/>
  <c r="Q58" i="27"/>
  <c r="Q64" i="27"/>
  <c r="Q67" i="27"/>
  <c r="Q70" i="27"/>
  <c r="Q71" i="27"/>
  <c r="Q72" i="27"/>
  <c r="Q74" i="27"/>
  <c r="Q78" i="27"/>
  <c r="Q79" i="27"/>
  <c r="Q80" i="27"/>
  <c r="Q81" i="27"/>
  <c r="Q104" i="27"/>
  <c r="Q105" i="27"/>
  <c r="Q107" i="27"/>
  <c r="Q108" i="27"/>
  <c r="Q109" i="27"/>
  <c r="Q110" i="27"/>
  <c r="Q111" i="27"/>
  <c r="Q112" i="27"/>
  <c r="Q113" i="27"/>
  <c r="Q114" i="27"/>
  <c r="Q115" i="27"/>
  <c r="Q116" i="27"/>
  <c r="Q117" i="27"/>
  <c r="Q118" i="27"/>
  <c r="Q119" i="27"/>
  <c r="Q120" i="27"/>
  <c r="Q121" i="27"/>
  <c r="Q122" i="27"/>
  <c r="Q123" i="27"/>
  <c r="Q124" i="27"/>
  <c r="Q125" i="27"/>
  <c r="Q126" i="27"/>
  <c r="Q127" i="27"/>
  <c r="Q128" i="27"/>
  <c r="Q129" i="27"/>
  <c r="Q130" i="27"/>
  <c r="Q137" i="27"/>
  <c r="Q139" i="27"/>
  <c r="Q153" i="27"/>
  <c r="Q156" i="27"/>
  <c r="Q172" i="27"/>
  <c r="Q178" i="27"/>
  <c r="Q179" i="27"/>
  <c r="Q192" i="27"/>
  <c r="Q193" i="27"/>
  <c r="Q198" i="27"/>
  <c r="Q199" i="27"/>
  <c r="Q200" i="27"/>
  <c r="Q201" i="27"/>
  <c r="Q202" i="27"/>
  <c r="Q203" i="27"/>
  <c r="Q204" i="27"/>
  <c r="Q218" i="27"/>
  <c r="Q241" i="27"/>
  <c r="Q242" i="27"/>
  <c r="Q243" i="27"/>
  <c r="Q244" i="27"/>
  <c r="Q245" i="27"/>
  <c r="Q246" i="27"/>
  <c r="Q247" i="27"/>
  <c r="Q248" i="27"/>
  <c r="Q250" i="27"/>
  <c r="Q251" i="27"/>
  <c r="Q253" i="27"/>
  <c r="Q259" i="27"/>
  <c r="Q261" i="27"/>
  <c r="Q262" i="27"/>
  <c r="Q269" i="27"/>
  <c r="Q270" i="27"/>
  <c r="Q271" i="27"/>
  <c r="Q272" i="27"/>
  <c r="Q295" i="27"/>
  <c r="Q308" i="27"/>
  <c r="Q309" i="27"/>
  <c r="Q310" i="27"/>
  <c r="Q311" i="27"/>
  <c r="Q312" i="27"/>
  <c r="Q314" i="27"/>
  <c r="Q318" i="27"/>
  <c r="Q321" i="27"/>
  <c r="Q325" i="27"/>
  <c r="Q328" i="27"/>
  <c r="Q329" i="27"/>
  <c r="Q333" i="27"/>
  <c r="Q334" i="27"/>
  <c r="Q335" i="27"/>
  <c r="Q336" i="27"/>
  <c r="Q338" i="27"/>
  <c r="Q342" i="27"/>
  <c r="Q343" i="27"/>
  <c r="Q344" i="27"/>
  <c r="Q345" i="27"/>
  <c r="Q346" i="27"/>
  <c r="Q347" i="27"/>
  <c r="Q348" i="27"/>
  <c r="Q349" i="27"/>
  <c r="Q350" i="27"/>
  <c r="Q351" i="27"/>
  <c r="Q352" i="27"/>
  <c r="Q353" i="27"/>
  <c r="Q354" i="27"/>
  <c r="Q355" i="27"/>
  <c r="Q356" i="27"/>
  <c r="Q357" i="27"/>
  <c r="Q358" i="27"/>
  <c r="Q359" i="27"/>
  <c r="Q360" i="27"/>
  <c r="Q361" i="27"/>
  <c r="Q370" i="27"/>
  <c r="Q371" i="27"/>
  <c r="Q372" i="27"/>
  <c r="Q374" i="27"/>
  <c r="Q375" i="27"/>
  <c r="Q376" i="27"/>
  <c r="Q377" i="27"/>
  <c r="Q32" i="27"/>
  <c r="Q55" i="27"/>
  <c r="Q73" i="27"/>
  <c r="Q75" i="27"/>
  <c r="Q77" i="27"/>
  <c r="Q82" i="27"/>
  <c r="Q83" i="27"/>
  <c r="Q84" i="27"/>
  <c r="Q85" i="27"/>
  <c r="Q304" i="27"/>
  <c r="Q305" i="27"/>
  <c r="Q154" i="27"/>
  <c r="Q155" i="27"/>
  <c r="Q157" i="27"/>
  <c r="Q158" i="27"/>
  <c r="Q161" i="27"/>
  <c r="Q164" i="27"/>
  <c r="Q165" i="27"/>
  <c r="Q168" i="27"/>
  <c r="Q159" i="27"/>
  <c r="Q160" i="27"/>
  <c r="Q163" i="27"/>
  <c r="Q166" i="27"/>
  <c r="Q167" i="27"/>
  <c r="Q219" i="27"/>
  <c r="Q381" i="27"/>
  <c r="Q382" i="27"/>
  <c r="Q378" i="27"/>
  <c r="Q379" i="27"/>
  <c r="Q380" i="27"/>
  <c r="Q267" i="27"/>
  <c r="Q194" i="27"/>
  <c r="Q296" i="27"/>
  <c r="Q7" i="27"/>
  <c r="Q8" i="27"/>
  <c r="Q10" i="27"/>
  <c r="Q11" i="27"/>
  <c r="Q12" i="27"/>
  <c r="Q13" i="27"/>
  <c r="Q14" i="27"/>
  <c r="Q15" i="27"/>
  <c r="Q16" i="27"/>
  <c r="Q103" i="27"/>
  <c r="Q388" i="27"/>
  <c r="Q69" i="27"/>
  <c r="Q366" i="27"/>
  <c r="Q102" i="27"/>
  <c r="Q2" i="27"/>
  <c r="Q3" i="27"/>
  <c r="Q68" i="27"/>
  <c r="Q169" i="27"/>
  <c r="Q170" i="27"/>
  <c r="Q171" i="27"/>
  <c r="Q187" i="27"/>
  <c r="Q364" i="27"/>
  <c r="Q365" i="27"/>
  <c r="Q186" i="27"/>
  <c r="Q188" i="27"/>
  <c r="Q190" i="27"/>
  <c r="Q191" i="27"/>
  <c r="Q185" i="27"/>
  <c r="Q189" i="27"/>
  <c r="Q195" i="27"/>
  <c r="Q290" i="27"/>
  <c r="Q291" i="27"/>
  <c r="Q390" i="27"/>
  <c r="Q391" i="27"/>
  <c r="Q392" i="27"/>
  <c r="Q298" i="27"/>
  <c r="Q307" i="27"/>
  <c r="Q303" i="27"/>
  <c r="Q90" i="27"/>
  <c r="P5" i="27"/>
  <c r="P19" i="27"/>
  <c r="P20" i="27"/>
  <c r="P21" i="27"/>
  <c r="P22" i="27"/>
  <c r="P23" i="27"/>
  <c r="P24" i="27"/>
  <c r="P25" i="27"/>
  <c r="P27" i="27"/>
  <c r="P28" i="27"/>
  <c r="P29" i="27"/>
  <c r="P30" i="27"/>
  <c r="P31" i="27"/>
  <c r="P33" i="27"/>
  <c r="P34" i="27"/>
  <c r="P35" i="27"/>
  <c r="P36" i="27"/>
  <c r="P37" i="27"/>
  <c r="P38" i="27"/>
  <c r="P39" i="27"/>
  <c r="P40" i="27"/>
  <c r="P41" i="27"/>
  <c r="P45" i="27"/>
  <c r="P46" i="27"/>
  <c r="P49" i="27"/>
  <c r="P51" i="27"/>
  <c r="P52" i="27"/>
  <c r="P56" i="27"/>
  <c r="P58" i="27"/>
  <c r="P64" i="27"/>
  <c r="P67" i="27"/>
  <c r="P70" i="27"/>
  <c r="P71" i="27"/>
  <c r="P72" i="27"/>
  <c r="P74" i="27"/>
  <c r="P78" i="27"/>
  <c r="P79" i="27"/>
  <c r="P80" i="27"/>
  <c r="P81" i="27"/>
  <c r="P104" i="27"/>
  <c r="P105" i="27"/>
  <c r="P107" i="27"/>
  <c r="P108" i="27"/>
  <c r="P109" i="27"/>
  <c r="P110" i="27"/>
  <c r="P111" i="27"/>
  <c r="P112" i="27"/>
  <c r="P113" i="27"/>
  <c r="P114" i="27"/>
  <c r="P115" i="27"/>
  <c r="P116" i="27"/>
  <c r="P117" i="27"/>
  <c r="P118" i="27"/>
  <c r="P119" i="27"/>
  <c r="P120" i="27"/>
  <c r="P121" i="27"/>
  <c r="P122" i="27"/>
  <c r="P123" i="27"/>
  <c r="P124" i="27"/>
  <c r="P125" i="27"/>
  <c r="P126" i="27"/>
  <c r="P127" i="27"/>
  <c r="P128" i="27"/>
  <c r="P129" i="27"/>
  <c r="P130" i="27"/>
  <c r="P137" i="27"/>
  <c r="P139" i="27"/>
  <c r="P153" i="27"/>
  <c r="P156" i="27"/>
  <c r="P172" i="27"/>
  <c r="P178" i="27"/>
  <c r="P179" i="27"/>
  <c r="P192" i="27"/>
  <c r="P193" i="27"/>
  <c r="P198" i="27"/>
  <c r="P199" i="27"/>
  <c r="P200" i="27"/>
  <c r="P201" i="27"/>
  <c r="P202" i="27"/>
  <c r="P203" i="27"/>
  <c r="P204" i="27"/>
  <c r="P218" i="27"/>
  <c r="P241" i="27"/>
  <c r="P242" i="27"/>
  <c r="P243" i="27"/>
  <c r="P244" i="27"/>
  <c r="P245" i="27"/>
  <c r="P246" i="27"/>
  <c r="P247" i="27"/>
  <c r="P248" i="27"/>
  <c r="P250" i="27"/>
  <c r="P251" i="27"/>
  <c r="P253" i="27"/>
  <c r="P259" i="27"/>
  <c r="P261" i="27"/>
  <c r="P262" i="27"/>
  <c r="P269" i="27"/>
  <c r="P270" i="27"/>
  <c r="P271" i="27"/>
  <c r="P272" i="27"/>
  <c r="P295" i="27"/>
  <c r="P308" i="27"/>
  <c r="P309" i="27"/>
  <c r="P310" i="27"/>
  <c r="P311" i="27"/>
  <c r="P312" i="27"/>
  <c r="P314" i="27"/>
  <c r="P318" i="27"/>
  <c r="P321" i="27"/>
  <c r="P325" i="27"/>
  <c r="P328" i="27"/>
  <c r="P329" i="27"/>
  <c r="P333" i="27"/>
  <c r="P334" i="27"/>
  <c r="P335" i="27"/>
  <c r="P336" i="27"/>
  <c r="P338" i="27"/>
  <c r="P342" i="27"/>
  <c r="P343" i="27"/>
  <c r="P344" i="27"/>
  <c r="P345" i="27"/>
  <c r="P346" i="27"/>
  <c r="P347" i="27"/>
  <c r="P348" i="27"/>
  <c r="P349" i="27"/>
  <c r="P350" i="27"/>
  <c r="P351" i="27"/>
  <c r="P352" i="27"/>
  <c r="P353" i="27"/>
  <c r="P354" i="27"/>
  <c r="P355" i="27"/>
  <c r="P356" i="27"/>
  <c r="P357" i="27"/>
  <c r="P358" i="27"/>
  <c r="P359" i="27"/>
  <c r="P360" i="27"/>
  <c r="P361" i="27"/>
  <c r="P370" i="27"/>
  <c r="P371" i="27"/>
  <c r="P372" i="27"/>
  <c r="P374" i="27"/>
  <c r="P375" i="27"/>
  <c r="P376" i="27"/>
  <c r="P377" i="27"/>
  <c r="P32" i="27"/>
  <c r="P55" i="27"/>
  <c r="P73" i="27"/>
  <c r="P75" i="27"/>
  <c r="P77" i="27"/>
  <c r="P82" i="27"/>
  <c r="P83" i="27"/>
  <c r="P84" i="27"/>
  <c r="P85" i="27"/>
  <c r="P304" i="27"/>
  <c r="P305" i="27"/>
  <c r="P154" i="27"/>
  <c r="P155" i="27"/>
  <c r="P157" i="27"/>
  <c r="P158" i="27"/>
  <c r="P161" i="27"/>
  <c r="P164" i="27"/>
  <c r="P165" i="27"/>
  <c r="P168" i="27"/>
  <c r="P159" i="27"/>
  <c r="P160" i="27"/>
  <c r="P163" i="27"/>
  <c r="P166" i="27"/>
  <c r="P167" i="27"/>
  <c r="P219" i="27"/>
  <c r="P381" i="27"/>
  <c r="P382" i="27"/>
  <c r="P378" i="27"/>
  <c r="P379" i="27"/>
  <c r="P380" i="27"/>
  <c r="P267" i="27"/>
  <c r="P194" i="27"/>
  <c r="P296" i="27"/>
  <c r="P7" i="27"/>
  <c r="P8" i="27"/>
  <c r="P10" i="27"/>
  <c r="P11" i="27"/>
  <c r="P12" i="27"/>
  <c r="P13" i="27"/>
  <c r="P14" i="27"/>
  <c r="P15" i="27"/>
  <c r="P16" i="27"/>
  <c r="P103" i="27"/>
  <c r="P388" i="27"/>
  <c r="P69" i="27"/>
  <c r="P366" i="27"/>
  <c r="P102" i="27"/>
  <c r="P2" i="27"/>
  <c r="P3" i="27"/>
  <c r="P68" i="27"/>
  <c r="P169" i="27"/>
  <c r="P170" i="27"/>
  <c r="P171" i="27"/>
  <c r="P187" i="27"/>
  <c r="P364" i="27"/>
  <c r="P365" i="27"/>
  <c r="P186" i="27"/>
  <c r="P188" i="27"/>
  <c r="P190" i="27"/>
  <c r="P191" i="27"/>
  <c r="P185" i="27"/>
  <c r="P189" i="27"/>
  <c r="P195" i="27"/>
  <c r="P290" i="27"/>
  <c r="P291" i="27"/>
  <c r="P390" i="27"/>
  <c r="P391" i="27"/>
  <c r="P392" i="27"/>
  <c r="P298" i="27"/>
  <c r="P307" i="27"/>
  <c r="P303" i="27"/>
  <c r="P90" i="27"/>
  <c r="C17" i="31" l="1"/>
  <c r="J90" i="27"/>
  <c r="K90" i="27"/>
  <c r="U90" i="27"/>
  <c r="X90" i="27"/>
  <c r="Z90" i="27"/>
  <c r="AA90" i="27"/>
  <c r="AE90" i="27"/>
  <c r="E2" i="32" l="1"/>
  <c r="E3" i="32"/>
  <c r="E4" i="32"/>
  <c r="E5" i="32"/>
  <c r="E6" i="32"/>
  <c r="E7" i="32"/>
  <c r="E8" i="32"/>
  <c r="E9" i="32"/>
  <c r="E10" i="32"/>
  <c r="E11" i="32"/>
  <c r="E12" i="32"/>
  <c r="E13" i="32"/>
  <c r="E14" i="32"/>
  <c r="E15" i="32"/>
  <c r="F3" i="32"/>
  <c r="F4" i="32"/>
  <c r="F5" i="32"/>
  <c r="F6" i="32"/>
  <c r="F7" i="32"/>
  <c r="F8" i="32"/>
  <c r="F9" i="32"/>
  <c r="F10" i="32"/>
  <c r="F11" i="32"/>
  <c r="F12" i="32"/>
  <c r="F13" i="32"/>
  <c r="F14" i="32"/>
  <c r="F15" i="32"/>
  <c r="F2" i="32"/>
  <c r="G26" i="31"/>
  <c r="C16" i="31" l="1"/>
  <c r="B7" i="31"/>
  <c r="D9" i="28"/>
  <c r="F9" i="28"/>
  <c r="G9" i="28"/>
  <c r="H9" i="28"/>
  <c r="C9" i="28"/>
  <c r="C10" i="28"/>
  <c r="J296" i="27" l="1"/>
  <c r="J167" i="27" l="1"/>
  <c r="K167" i="27"/>
  <c r="U167" i="27"/>
  <c r="X167" i="27"/>
  <c r="Z167" i="27"/>
  <c r="AA167" i="27"/>
  <c r="AE167" i="27"/>
  <c r="AA19" i="27" l="1"/>
  <c r="AA20" i="27"/>
  <c r="AA21" i="27"/>
  <c r="AA22" i="27"/>
  <c r="AA23" i="27"/>
  <c r="AA24" i="27"/>
  <c r="AA25" i="27"/>
  <c r="AA27" i="27"/>
  <c r="AA28" i="27"/>
  <c r="AA29" i="27"/>
  <c r="AA30" i="27"/>
  <c r="AA31" i="27"/>
  <c r="AA33" i="27"/>
  <c r="AA34" i="27"/>
  <c r="AA35" i="27"/>
  <c r="AA36" i="27"/>
  <c r="AA37" i="27"/>
  <c r="AA38" i="27"/>
  <c r="AA39" i="27"/>
  <c r="AA40" i="27"/>
  <c r="AA41" i="27"/>
  <c r="AA45" i="27"/>
  <c r="AA46" i="27"/>
  <c r="AA49" i="27"/>
  <c r="AA51" i="27"/>
  <c r="AA52" i="27"/>
  <c r="AA56" i="27"/>
  <c r="AA58" i="27"/>
  <c r="AA64" i="27"/>
  <c r="AA67" i="27"/>
  <c r="AA70" i="27"/>
  <c r="AA71" i="27"/>
  <c r="AA72" i="27"/>
  <c r="AA74" i="27"/>
  <c r="AA78" i="27"/>
  <c r="AA79" i="27"/>
  <c r="AA80" i="27"/>
  <c r="AA81" i="27"/>
  <c r="AA104" i="27"/>
  <c r="AA105" i="27"/>
  <c r="AA107" i="27"/>
  <c r="AA108" i="27"/>
  <c r="AA109" i="27"/>
  <c r="AA110" i="27"/>
  <c r="AA111" i="27"/>
  <c r="AA112" i="27"/>
  <c r="AA113" i="27"/>
  <c r="AA114" i="27"/>
  <c r="AA115" i="27"/>
  <c r="AA116" i="27"/>
  <c r="AA117" i="27"/>
  <c r="AA118" i="27"/>
  <c r="AA119" i="27"/>
  <c r="AA120" i="27"/>
  <c r="AA121" i="27"/>
  <c r="AA122" i="27"/>
  <c r="AA123" i="27"/>
  <c r="AA124" i="27"/>
  <c r="AA125" i="27"/>
  <c r="AA126" i="27"/>
  <c r="AA127" i="27"/>
  <c r="AA128" i="27"/>
  <c r="AA129" i="27"/>
  <c r="AA130" i="27"/>
  <c r="AA137" i="27"/>
  <c r="AA139" i="27"/>
  <c r="AA153" i="27"/>
  <c r="AA156" i="27"/>
  <c r="AA172" i="27"/>
  <c r="AA178" i="27"/>
  <c r="AA179" i="27"/>
  <c r="AA192" i="27"/>
  <c r="AA193" i="27"/>
  <c r="AA198" i="27"/>
  <c r="AA199" i="27"/>
  <c r="AA200" i="27"/>
  <c r="AA201" i="27"/>
  <c r="AA202" i="27"/>
  <c r="AA203" i="27"/>
  <c r="AA204" i="27"/>
  <c r="AA218" i="27"/>
  <c r="AA241" i="27"/>
  <c r="AA242" i="27"/>
  <c r="AA243" i="27"/>
  <c r="AA244" i="27"/>
  <c r="AA245" i="27"/>
  <c r="AA246" i="27"/>
  <c r="AA247" i="27"/>
  <c r="AA248" i="27"/>
  <c r="AA250" i="27"/>
  <c r="AA251" i="27"/>
  <c r="AA253" i="27"/>
  <c r="AA259" i="27"/>
  <c r="AA261" i="27"/>
  <c r="AA262" i="27"/>
  <c r="AA269" i="27"/>
  <c r="AA270" i="27"/>
  <c r="AA271" i="27"/>
  <c r="AA272" i="27"/>
  <c r="AA295" i="27"/>
  <c r="AA308" i="27"/>
  <c r="AA309" i="27"/>
  <c r="AA310" i="27"/>
  <c r="AA311" i="27"/>
  <c r="AA312" i="27"/>
  <c r="AA314" i="27"/>
  <c r="AA318" i="27"/>
  <c r="AA321" i="27"/>
  <c r="AA325" i="27"/>
  <c r="AA328" i="27"/>
  <c r="AA329" i="27"/>
  <c r="AA333" i="27"/>
  <c r="AA334" i="27"/>
  <c r="AA335" i="27"/>
  <c r="AA336" i="27"/>
  <c r="AA338" i="27"/>
  <c r="AA342" i="27"/>
  <c r="AA343" i="27"/>
  <c r="AA344" i="27"/>
  <c r="AA345" i="27"/>
  <c r="AA346" i="27"/>
  <c r="AA347" i="27"/>
  <c r="AA348" i="27"/>
  <c r="AA349" i="27"/>
  <c r="AA350" i="27"/>
  <c r="AA351" i="27"/>
  <c r="AA352" i="27"/>
  <c r="AA353" i="27"/>
  <c r="AA354" i="27"/>
  <c r="AA355" i="27"/>
  <c r="AA356" i="27"/>
  <c r="AA357" i="27"/>
  <c r="AA358" i="27"/>
  <c r="AA359" i="27"/>
  <c r="AA360" i="27"/>
  <c r="AA361" i="27"/>
  <c r="AA370" i="27"/>
  <c r="AA371" i="27"/>
  <c r="AA372" i="27"/>
  <c r="AA374" i="27"/>
  <c r="AA375" i="27"/>
  <c r="AA376" i="27"/>
  <c r="AA377" i="27"/>
  <c r="AA32" i="27"/>
  <c r="AA55" i="27"/>
  <c r="AA73" i="27"/>
  <c r="AA75" i="27"/>
  <c r="AA77" i="27"/>
  <c r="AA82" i="27"/>
  <c r="AA83" i="27"/>
  <c r="AA84" i="27"/>
  <c r="AA85" i="27"/>
  <c r="AA304" i="27"/>
  <c r="AA305" i="27"/>
  <c r="AA154" i="27"/>
  <c r="AA155" i="27"/>
  <c r="AA157" i="27"/>
  <c r="AA158" i="27"/>
  <c r="AA161" i="27"/>
  <c r="AA164" i="27"/>
  <c r="AA165" i="27"/>
  <c r="AA168" i="27"/>
  <c r="AA159" i="27"/>
  <c r="AA160" i="27"/>
  <c r="AA163" i="27"/>
  <c r="AA166" i="27"/>
  <c r="AA219" i="27"/>
  <c r="AA381" i="27"/>
  <c r="AA382" i="27"/>
  <c r="AA378" i="27"/>
  <c r="AA379" i="27"/>
  <c r="AA380" i="27"/>
  <c r="AA267" i="27"/>
  <c r="AA194" i="27"/>
  <c r="AA296" i="27"/>
  <c r="AA7" i="27"/>
  <c r="AA8" i="27"/>
  <c r="AA10" i="27"/>
  <c r="AA11" i="27"/>
  <c r="AA12" i="27"/>
  <c r="AA13" i="27"/>
  <c r="AA14" i="27"/>
  <c r="AA15" i="27"/>
  <c r="AA16" i="27"/>
  <c r="AA103" i="27"/>
  <c r="AA388" i="27"/>
  <c r="AA69" i="27"/>
  <c r="AA366" i="27"/>
  <c r="AA102" i="27"/>
  <c r="AA2" i="27"/>
  <c r="AA3" i="27"/>
  <c r="AA68" i="27"/>
  <c r="AA169" i="27"/>
  <c r="AA170" i="27"/>
  <c r="AA171" i="27"/>
  <c r="AA187" i="27"/>
  <c r="AA364" i="27"/>
  <c r="AA365" i="27"/>
  <c r="AA186" i="27"/>
  <c r="AA188" i="27"/>
  <c r="AA190" i="27"/>
  <c r="AA191" i="27"/>
  <c r="AA185" i="27"/>
  <c r="AA189" i="27"/>
  <c r="AA195" i="27"/>
  <c r="AA290" i="27"/>
  <c r="AA291" i="27"/>
  <c r="AA390" i="27"/>
  <c r="AA391" i="27"/>
  <c r="AA392" i="27"/>
  <c r="AA298" i="27"/>
  <c r="AA307" i="27"/>
  <c r="AA303" i="27"/>
  <c r="Z19" i="27"/>
  <c r="Z20" i="27"/>
  <c r="Z21" i="27"/>
  <c r="Z22" i="27"/>
  <c r="Z23" i="27"/>
  <c r="Z24" i="27"/>
  <c r="Z25" i="27"/>
  <c r="Z27" i="27"/>
  <c r="Z28" i="27"/>
  <c r="Z29" i="27"/>
  <c r="Z30" i="27"/>
  <c r="Z31" i="27"/>
  <c r="Z33" i="27"/>
  <c r="Z34" i="27"/>
  <c r="Z35" i="27"/>
  <c r="Z36" i="27"/>
  <c r="Z37" i="27"/>
  <c r="Z38" i="27"/>
  <c r="Z39" i="27"/>
  <c r="Z40" i="27"/>
  <c r="Z41" i="27"/>
  <c r="Z45" i="27"/>
  <c r="Z46" i="27"/>
  <c r="Z49" i="27"/>
  <c r="Z51" i="27"/>
  <c r="Z52" i="27"/>
  <c r="Z56" i="27"/>
  <c r="Z58" i="27"/>
  <c r="Z64" i="27"/>
  <c r="Z67" i="27"/>
  <c r="Z70" i="27"/>
  <c r="Z71" i="27"/>
  <c r="Z72" i="27"/>
  <c r="Z74" i="27"/>
  <c r="Z78" i="27"/>
  <c r="Z79" i="27"/>
  <c r="Z80" i="27"/>
  <c r="Z81" i="27"/>
  <c r="Z104" i="27"/>
  <c r="Z105" i="27"/>
  <c r="Z107" i="27"/>
  <c r="Z108" i="27"/>
  <c r="Z109" i="27"/>
  <c r="Z110" i="27"/>
  <c r="Z111" i="27"/>
  <c r="Z112" i="27"/>
  <c r="Z113" i="27"/>
  <c r="Z114" i="27"/>
  <c r="Z115" i="27"/>
  <c r="Z116" i="27"/>
  <c r="Z117" i="27"/>
  <c r="Z118" i="27"/>
  <c r="Z119" i="27"/>
  <c r="Z120" i="27"/>
  <c r="Z121" i="27"/>
  <c r="Z122" i="27"/>
  <c r="Z123" i="27"/>
  <c r="Z124" i="27"/>
  <c r="Z125" i="27"/>
  <c r="Z126" i="27"/>
  <c r="Z127" i="27"/>
  <c r="Z128" i="27"/>
  <c r="Z129" i="27"/>
  <c r="Z130" i="27"/>
  <c r="Z137" i="27"/>
  <c r="Z139" i="27"/>
  <c r="Z153" i="27"/>
  <c r="Z156" i="27"/>
  <c r="Z172" i="27"/>
  <c r="Z178" i="27"/>
  <c r="Z179" i="27"/>
  <c r="Z192" i="27"/>
  <c r="Z193" i="27"/>
  <c r="Z198" i="27"/>
  <c r="Z199" i="27"/>
  <c r="Z200" i="27"/>
  <c r="Z201" i="27"/>
  <c r="Z202" i="27"/>
  <c r="Z203" i="27"/>
  <c r="Z204" i="27"/>
  <c r="Z218" i="27"/>
  <c r="Z241" i="27"/>
  <c r="Z242" i="27"/>
  <c r="Z243" i="27"/>
  <c r="Z244" i="27"/>
  <c r="Z245" i="27"/>
  <c r="Z246" i="27"/>
  <c r="Z247" i="27"/>
  <c r="Z248" i="27"/>
  <c r="Z250" i="27"/>
  <c r="Z251" i="27"/>
  <c r="Z253" i="27"/>
  <c r="Z259" i="27"/>
  <c r="Z261" i="27"/>
  <c r="Z262" i="27"/>
  <c r="Z269" i="27"/>
  <c r="Z270" i="27"/>
  <c r="Z271" i="27"/>
  <c r="Z272" i="27"/>
  <c r="Z295" i="27"/>
  <c r="Z308" i="27"/>
  <c r="Z309" i="27"/>
  <c r="Z310" i="27"/>
  <c r="Z311" i="27"/>
  <c r="Z312" i="27"/>
  <c r="Z314" i="27"/>
  <c r="Z318" i="27"/>
  <c r="Z321" i="27"/>
  <c r="Z325" i="27"/>
  <c r="Z328" i="27"/>
  <c r="Z329" i="27"/>
  <c r="Z333" i="27"/>
  <c r="Z334" i="27"/>
  <c r="Z335" i="27"/>
  <c r="Z336" i="27"/>
  <c r="Z338" i="27"/>
  <c r="Z342" i="27"/>
  <c r="Z343" i="27"/>
  <c r="Z344" i="27"/>
  <c r="Z345" i="27"/>
  <c r="Z346" i="27"/>
  <c r="Z347" i="27"/>
  <c r="Z348" i="27"/>
  <c r="Z349" i="27"/>
  <c r="Z350" i="27"/>
  <c r="Z351" i="27"/>
  <c r="Z352" i="27"/>
  <c r="Z353" i="27"/>
  <c r="Z354" i="27"/>
  <c r="Z355" i="27"/>
  <c r="Z356" i="27"/>
  <c r="Z357" i="27"/>
  <c r="Z358" i="27"/>
  <c r="Z359" i="27"/>
  <c r="Z360" i="27"/>
  <c r="Z361" i="27"/>
  <c r="Z370" i="27"/>
  <c r="Z371" i="27"/>
  <c r="Z372" i="27"/>
  <c r="Z374" i="27"/>
  <c r="Z375" i="27"/>
  <c r="Z376" i="27"/>
  <c r="Z377" i="27"/>
  <c r="Z32" i="27"/>
  <c r="Z55" i="27"/>
  <c r="Z73" i="27"/>
  <c r="Z75" i="27"/>
  <c r="Z77" i="27"/>
  <c r="Z82" i="27"/>
  <c r="Z83" i="27"/>
  <c r="Z84" i="27"/>
  <c r="Z85" i="27"/>
  <c r="Z304" i="27"/>
  <c r="Z305" i="27"/>
  <c r="Z154" i="27"/>
  <c r="Z155" i="27"/>
  <c r="Z157" i="27"/>
  <c r="Z158" i="27"/>
  <c r="Z161" i="27"/>
  <c r="Z164" i="27"/>
  <c r="Z165" i="27"/>
  <c r="Z168" i="27"/>
  <c r="Z159" i="27"/>
  <c r="Z160" i="27"/>
  <c r="Z163" i="27"/>
  <c r="Z166" i="27"/>
  <c r="Z219" i="27"/>
  <c r="Z381" i="27"/>
  <c r="Z382" i="27"/>
  <c r="Z378" i="27"/>
  <c r="Z379" i="27"/>
  <c r="Z380" i="27"/>
  <c r="Z267" i="27"/>
  <c r="Z194" i="27"/>
  <c r="Z296" i="27"/>
  <c r="Z7" i="27"/>
  <c r="Z8" i="27"/>
  <c r="Z10" i="27"/>
  <c r="Z11" i="27"/>
  <c r="Z12" i="27"/>
  <c r="Z13" i="27"/>
  <c r="Z14" i="27"/>
  <c r="Z15" i="27"/>
  <c r="Z16" i="27"/>
  <c r="Z103" i="27"/>
  <c r="Z388" i="27"/>
  <c r="Z69" i="27"/>
  <c r="Z366" i="27"/>
  <c r="Z102" i="27"/>
  <c r="Z2" i="27"/>
  <c r="Z3" i="27"/>
  <c r="Z68" i="27"/>
  <c r="Z169" i="27"/>
  <c r="Z170" i="27"/>
  <c r="Z171" i="27"/>
  <c r="Z187" i="27"/>
  <c r="Z364" i="27"/>
  <c r="Z365" i="27"/>
  <c r="Z186" i="27"/>
  <c r="Z188" i="27"/>
  <c r="Z190" i="27"/>
  <c r="Z191" i="27"/>
  <c r="Z185" i="27"/>
  <c r="Z189" i="27"/>
  <c r="Z195" i="27"/>
  <c r="Z290" i="27"/>
  <c r="Z291" i="27"/>
  <c r="Z390" i="27"/>
  <c r="Z391" i="27"/>
  <c r="Z392" i="27"/>
  <c r="Z298" i="27"/>
  <c r="Z307" i="27"/>
  <c r="Z303" i="27"/>
  <c r="X19" i="27"/>
  <c r="X20" i="27"/>
  <c r="X21" i="27"/>
  <c r="X22" i="27"/>
  <c r="X23" i="27"/>
  <c r="X24" i="27"/>
  <c r="X25" i="27"/>
  <c r="X27" i="27"/>
  <c r="X28" i="27"/>
  <c r="X29" i="27"/>
  <c r="X30" i="27"/>
  <c r="X31" i="27"/>
  <c r="X33" i="27"/>
  <c r="X34" i="27"/>
  <c r="X35" i="27"/>
  <c r="X36" i="27"/>
  <c r="X37" i="27"/>
  <c r="X38" i="27"/>
  <c r="X39" i="27"/>
  <c r="X40" i="27"/>
  <c r="X41" i="27"/>
  <c r="X45" i="27"/>
  <c r="X46" i="27"/>
  <c r="X49" i="27"/>
  <c r="X51" i="27"/>
  <c r="X52" i="27"/>
  <c r="X56" i="27"/>
  <c r="X58" i="27"/>
  <c r="X64" i="27"/>
  <c r="X67" i="27"/>
  <c r="X70" i="27"/>
  <c r="X71" i="27"/>
  <c r="X72" i="27"/>
  <c r="X74" i="27"/>
  <c r="X78" i="27"/>
  <c r="X79" i="27"/>
  <c r="X80" i="27"/>
  <c r="X81" i="27"/>
  <c r="X104" i="27"/>
  <c r="X105" i="27"/>
  <c r="X107" i="27"/>
  <c r="X108" i="27"/>
  <c r="X109" i="27"/>
  <c r="X110" i="27"/>
  <c r="X111" i="27"/>
  <c r="X112" i="27"/>
  <c r="X113" i="27"/>
  <c r="X114" i="27"/>
  <c r="X115" i="27"/>
  <c r="X116" i="27"/>
  <c r="X117" i="27"/>
  <c r="X118" i="27"/>
  <c r="X119" i="27"/>
  <c r="X120" i="27"/>
  <c r="X121" i="27"/>
  <c r="X122" i="27"/>
  <c r="X123" i="27"/>
  <c r="X124" i="27"/>
  <c r="X125" i="27"/>
  <c r="X126" i="27"/>
  <c r="X127" i="27"/>
  <c r="X128" i="27"/>
  <c r="X129" i="27"/>
  <c r="X130" i="27"/>
  <c r="X137" i="27"/>
  <c r="X139" i="27"/>
  <c r="X153" i="27"/>
  <c r="X156" i="27"/>
  <c r="X172" i="27"/>
  <c r="X178" i="27"/>
  <c r="X179" i="27"/>
  <c r="X192" i="27"/>
  <c r="X193" i="27"/>
  <c r="X198" i="27"/>
  <c r="X199" i="27"/>
  <c r="X200" i="27"/>
  <c r="X201" i="27"/>
  <c r="X202" i="27"/>
  <c r="X203" i="27"/>
  <c r="X204" i="27"/>
  <c r="X218" i="27"/>
  <c r="X241" i="27"/>
  <c r="X242" i="27"/>
  <c r="X243" i="27"/>
  <c r="X244" i="27"/>
  <c r="X245" i="27"/>
  <c r="X246" i="27"/>
  <c r="X247" i="27"/>
  <c r="X248" i="27"/>
  <c r="X250" i="27"/>
  <c r="X251" i="27"/>
  <c r="X253" i="27"/>
  <c r="X259" i="27"/>
  <c r="X261" i="27"/>
  <c r="X262" i="27"/>
  <c r="X269" i="27"/>
  <c r="X270" i="27"/>
  <c r="X271" i="27"/>
  <c r="X272" i="27"/>
  <c r="X295" i="27"/>
  <c r="X308" i="27"/>
  <c r="X309" i="27"/>
  <c r="X310" i="27"/>
  <c r="X311" i="27"/>
  <c r="X312" i="27"/>
  <c r="X314" i="27"/>
  <c r="X318" i="27"/>
  <c r="X321" i="27"/>
  <c r="X325" i="27"/>
  <c r="X328" i="27"/>
  <c r="X329" i="27"/>
  <c r="X333" i="27"/>
  <c r="X334" i="27"/>
  <c r="X335" i="27"/>
  <c r="X336" i="27"/>
  <c r="X338" i="27"/>
  <c r="X342" i="27"/>
  <c r="X343" i="27"/>
  <c r="X344" i="27"/>
  <c r="X345" i="27"/>
  <c r="X346" i="27"/>
  <c r="X347" i="27"/>
  <c r="X348" i="27"/>
  <c r="X349" i="27"/>
  <c r="X350" i="27"/>
  <c r="X351" i="27"/>
  <c r="X352" i="27"/>
  <c r="X353" i="27"/>
  <c r="X354" i="27"/>
  <c r="X355" i="27"/>
  <c r="X356" i="27"/>
  <c r="X357" i="27"/>
  <c r="X358" i="27"/>
  <c r="X359" i="27"/>
  <c r="X360" i="27"/>
  <c r="X361" i="27"/>
  <c r="X370" i="27"/>
  <c r="X371" i="27"/>
  <c r="X372" i="27"/>
  <c r="X374" i="27"/>
  <c r="X375" i="27"/>
  <c r="X376" i="27"/>
  <c r="X377" i="27"/>
  <c r="X32" i="27"/>
  <c r="X55" i="27"/>
  <c r="X73" i="27"/>
  <c r="X75" i="27"/>
  <c r="X77" i="27"/>
  <c r="X82" i="27"/>
  <c r="X83" i="27"/>
  <c r="X84" i="27"/>
  <c r="X85" i="27"/>
  <c r="X304" i="27"/>
  <c r="X305" i="27"/>
  <c r="X154" i="27"/>
  <c r="X155" i="27"/>
  <c r="X157" i="27"/>
  <c r="X158" i="27"/>
  <c r="X161" i="27"/>
  <c r="X164" i="27"/>
  <c r="X165" i="27"/>
  <c r="X168" i="27"/>
  <c r="X159" i="27"/>
  <c r="X160" i="27"/>
  <c r="X163" i="27"/>
  <c r="X166" i="27"/>
  <c r="X219" i="27"/>
  <c r="X381" i="27"/>
  <c r="X382" i="27"/>
  <c r="X378" i="27"/>
  <c r="X379" i="27"/>
  <c r="X380" i="27"/>
  <c r="X267" i="27"/>
  <c r="X194" i="27"/>
  <c r="X296" i="27"/>
  <c r="X7" i="27"/>
  <c r="X8" i="27"/>
  <c r="X10" i="27"/>
  <c r="X11" i="27"/>
  <c r="X12" i="27"/>
  <c r="X13" i="27"/>
  <c r="X14" i="27"/>
  <c r="X15" i="27"/>
  <c r="X16" i="27"/>
  <c r="X103" i="27"/>
  <c r="X388" i="27"/>
  <c r="X69" i="27"/>
  <c r="X366" i="27"/>
  <c r="X102" i="27"/>
  <c r="X2" i="27"/>
  <c r="X3" i="27"/>
  <c r="X68" i="27"/>
  <c r="X169" i="27"/>
  <c r="X170" i="27"/>
  <c r="X171" i="27"/>
  <c r="X187" i="27"/>
  <c r="X364" i="27"/>
  <c r="X365" i="27"/>
  <c r="X186" i="27"/>
  <c r="X188" i="27"/>
  <c r="X190" i="27"/>
  <c r="X191" i="27"/>
  <c r="X185" i="27"/>
  <c r="X189" i="27"/>
  <c r="X195" i="27"/>
  <c r="X290" i="27"/>
  <c r="X291" i="27"/>
  <c r="X390" i="27"/>
  <c r="X391" i="27"/>
  <c r="X392" i="27"/>
  <c r="X298" i="27"/>
  <c r="X307" i="27"/>
  <c r="X303" i="27"/>
  <c r="W126" i="27"/>
  <c r="J157" i="27"/>
  <c r="K157" i="27"/>
  <c r="AE157" i="27"/>
  <c r="J191" i="27"/>
  <c r="J185" i="27"/>
  <c r="J189" i="27"/>
  <c r="J195" i="27"/>
  <c r="J290" i="27"/>
  <c r="J291" i="27"/>
  <c r="K191" i="27"/>
  <c r="K185" i="27"/>
  <c r="K189" i="27"/>
  <c r="K195" i="27"/>
  <c r="K290" i="27"/>
  <c r="K291" i="27"/>
  <c r="U195" i="27"/>
  <c r="AE191" i="27"/>
  <c r="AE185" i="27"/>
  <c r="AE189" i="27"/>
  <c r="AE195" i="27"/>
  <c r="AE290" i="27"/>
  <c r="AE291" i="27"/>
  <c r="J390" i="27"/>
  <c r="J391" i="27"/>
  <c r="J392" i="27"/>
  <c r="K390" i="27"/>
  <c r="K391" i="27"/>
  <c r="K392" i="27"/>
  <c r="U391" i="27"/>
  <c r="U392" i="27"/>
  <c r="AE390" i="27"/>
  <c r="AE391" i="27"/>
  <c r="AE392" i="27"/>
  <c r="J298" i="27"/>
  <c r="K298" i="27"/>
  <c r="AE298" i="27"/>
  <c r="J171" i="27"/>
  <c r="J187" i="27"/>
  <c r="J364" i="27"/>
  <c r="K171" i="27"/>
  <c r="K187" i="27"/>
  <c r="K364" i="27"/>
  <c r="U171" i="27"/>
  <c r="U187" i="27"/>
  <c r="AE171" i="27"/>
  <c r="AE187" i="27"/>
  <c r="AE364" i="27"/>
  <c r="J365" i="27"/>
  <c r="J186" i="27"/>
  <c r="K365" i="27"/>
  <c r="K186" i="27"/>
  <c r="AE365" i="27"/>
  <c r="AE186" i="27"/>
  <c r="J188" i="27"/>
  <c r="J190" i="27"/>
  <c r="K188" i="27"/>
  <c r="K190" i="27"/>
  <c r="AE188" i="27"/>
  <c r="AE190" i="27"/>
  <c r="J307" i="27"/>
  <c r="K307" i="27"/>
  <c r="AE307" i="27"/>
  <c r="J8" i="27"/>
  <c r="J10" i="27"/>
  <c r="J11" i="27"/>
  <c r="J12" i="27"/>
  <c r="K8" i="27"/>
  <c r="K10" i="27"/>
  <c r="K11" i="27"/>
  <c r="K12" i="27"/>
  <c r="U8" i="27"/>
  <c r="AE8" i="27"/>
  <c r="AE10" i="27"/>
  <c r="AE11" i="27"/>
  <c r="AE12" i="27"/>
  <c r="J13" i="27"/>
  <c r="J14" i="27"/>
  <c r="J15" i="27"/>
  <c r="J16" i="27"/>
  <c r="K13" i="27"/>
  <c r="K14" i="27"/>
  <c r="K15" i="27"/>
  <c r="K16" i="27"/>
  <c r="U13" i="27"/>
  <c r="U14" i="27"/>
  <c r="AE13" i="27"/>
  <c r="AE14" i="27"/>
  <c r="AE15" i="27"/>
  <c r="AE16" i="27"/>
  <c r="J103" i="27"/>
  <c r="J388" i="27"/>
  <c r="J69" i="27"/>
  <c r="J366" i="27"/>
  <c r="K103" i="27"/>
  <c r="K388" i="27"/>
  <c r="K69" i="27"/>
  <c r="K366" i="27"/>
  <c r="U366" i="27"/>
  <c r="AE103" i="27"/>
  <c r="AE388" i="27"/>
  <c r="AE69" i="27"/>
  <c r="AE366" i="27"/>
  <c r="J102" i="27"/>
  <c r="J2" i="27"/>
  <c r="J3" i="27"/>
  <c r="J68" i="27"/>
  <c r="K102" i="27"/>
  <c r="K2" i="27"/>
  <c r="K3" i="27"/>
  <c r="K68" i="27"/>
  <c r="U102" i="27"/>
  <c r="U2" i="27"/>
  <c r="U3" i="27"/>
  <c r="AE102" i="27"/>
  <c r="AE2" i="27"/>
  <c r="AE3" i="27"/>
  <c r="AE68" i="27"/>
  <c r="J160" i="27"/>
  <c r="J163" i="27"/>
  <c r="J166" i="27"/>
  <c r="J219" i="27"/>
  <c r="J381" i="27"/>
  <c r="J382" i="27"/>
  <c r="J378" i="27"/>
  <c r="J379" i="27"/>
  <c r="K160" i="27"/>
  <c r="K163" i="27"/>
  <c r="K166" i="27"/>
  <c r="K219" i="27"/>
  <c r="K381" i="27"/>
  <c r="K382" i="27"/>
  <c r="K378" i="27"/>
  <c r="K379" i="27"/>
  <c r="U163" i="27"/>
  <c r="U166" i="27"/>
  <c r="U219" i="27"/>
  <c r="U160" i="27"/>
  <c r="AE160" i="27"/>
  <c r="AE163" i="27"/>
  <c r="AE166" i="27"/>
  <c r="AE219" i="27"/>
  <c r="AE381" i="27"/>
  <c r="AE382" i="27"/>
  <c r="AE378" i="27"/>
  <c r="AE379" i="27"/>
  <c r="J380" i="27"/>
  <c r="J267" i="27"/>
  <c r="J194" i="27"/>
  <c r="K380" i="27"/>
  <c r="K267" i="27"/>
  <c r="K194" i="27"/>
  <c r="U267" i="27"/>
  <c r="U194" i="27"/>
  <c r="AE380" i="27"/>
  <c r="AE267" i="27"/>
  <c r="AE194" i="27"/>
  <c r="J7" i="27"/>
  <c r="J169" i="27"/>
  <c r="K296" i="27"/>
  <c r="K7" i="27"/>
  <c r="K169" i="27"/>
  <c r="U7" i="27"/>
  <c r="U169" i="27"/>
  <c r="AE296" i="27"/>
  <c r="AE7" i="27"/>
  <c r="AE169" i="27"/>
  <c r="J170" i="27"/>
  <c r="K170" i="27"/>
  <c r="AE170" i="27"/>
  <c r="J303" i="27"/>
  <c r="K303" i="27"/>
  <c r="AE303" i="27"/>
  <c r="J154" i="27"/>
  <c r="J155" i="27"/>
  <c r="J158" i="27"/>
  <c r="J161" i="27"/>
  <c r="K154" i="27"/>
  <c r="K155" i="27"/>
  <c r="K158" i="27"/>
  <c r="K161" i="27"/>
  <c r="AE154" i="27"/>
  <c r="AE155" i="27"/>
  <c r="AE158" i="27"/>
  <c r="AE161" i="27"/>
  <c r="J164" i="27"/>
  <c r="J165" i="27"/>
  <c r="K164" i="27"/>
  <c r="K165" i="27"/>
  <c r="AE164" i="27"/>
  <c r="AE165" i="27"/>
  <c r="J168" i="27"/>
  <c r="K168" i="27"/>
  <c r="AE168" i="27"/>
  <c r="J159" i="27"/>
  <c r="K159" i="27"/>
  <c r="U159" i="27"/>
  <c r="AE159" i="27"/>
  <c r="D26" i="31" l="1"/>
  <c r="U103" i="27"/>
  <c r="U191" i="27"/>
  <c r="U290" i="27"/>
  <c r="U189" i="27"/>
  <c r="U291" i="27"/>
  <c r="U185" i="27"/>
  <c r="U11" i="27"/>
  <c r="U10" i="27"/>
  <c r="U12" i="27"/>
  <c r="U390" i="27"/>
  <c r="U298" i="27"/>
  <c r="U157" i="27"/>
  <c r="U16" i="27"/>
  <c r="U365" i="27"/>
  <c r="U68" i="27"/>
  <c r="U364" i="27"/>
  <c r="U186" i="27"/>
  <c r="U15" i="27"/>
  <c r="U190" i="27"/>
  <c r="U188" i="27"/>
  <c r="U382" i="27"/>
  <c r="U381" i="27"/>
  <c r="U69" i="27"/>
  <c r="U388" i="27"/>
  <c r="U379" i="27"/>
  <c r="U378" i="27"/>
  <c r="U307" i="27"/>
  <c r="U154" i="27"/>
  <c r="U380" i="27"/>
  <c r="U161" i="27"/>
  <c r="U158" i="27"/>
  <c r="U155" i="27"/>
  <c r="U170" i="27"/>
  <c r="U303" i="27"/>
  <c r="U165" i="27"/>
  <c r="U164" i="27"/>
  <c r="U168" i="27"/>
  <c r="H26" i="31" l="1"/>
  <c r="U34" i="27"/>
  <c r="U5" i="27"/>
  <c r="U19" i="27"/>
  <c r="U20" i="27"/>
  <c r="U21" i="27"/>
  <c r="U22" i="27"/>
  <c r="U23" i="27"/>
  <c r="U24" i="27"/>
  <c r="U25" i="27"/>
  <c r="U27" i="27"/>
  <c r="U28" i="27"/>
  <c r="U29" i="27"/>
  <c r="U30" i="27"/>
  <c r="U31" i="27"/>
  <c r="U33" i="27"/>
  <c r="U35" i="27"/>
  <c r="U36" i="27"/>
  <c r="U37" i="27"/>
  <c r="U38" i="27"/>
  <c r="U39" i="27"/>
  <c r="U40" i="27"/>
  <c r="U41" i="27"/>
  <c r="U45" i="27"/>
  <c r="U46" i="27"/>
  <c r="U49" i="27"/>
  <c r="U51" i="27"/>
  <c r="U52" i="27"/>
  <c r="U56" i="27"/>
  <c r="U58" i="27"/>
  <c r="U64" i="27"/>
  <c r="U67" i="27"/>
  <c r="U70" i="27"/>
  <c r="U71" i="27"/>
  <c r="U72" i="27"/>
  <c r="U74" i="27"/>
  <c r="U78" i="27"/>
  <c r="U79" i="27"/>
  <c r="U80" i="27"/>
  <c r="U81" i="27"/>
  <c r="U104" i="27"/>
  <c r="U105" i="27"/>
  <c r="U107" i="27"/>
  <c r="U108" i="27"/>
  <c r="U109" i="27"/>
  <c r="U110" i="27"/>
  <c r="U111" i="27"/>
  <c r="U112" i="27"/>
  <c r="U113" i="27"/>
  <c r="U114" i="27"/>
  <c r="U115" i="27"/>
  <c r="U116" i="27"/>
  <c r="U117" i="27"/>
  <c r="U118" i="27"/>
  <c r="U119" i="27"/>
  <c r="U120" i="27"/>
  <c r="U121" i="27"/>
  <c r="U122" i="27"/>
  <c r="U123" i="27"/>
  <c r="U124" i="27"/>
  <c r="U125" i="27"/>
  <c r="U126" i="27"/>
  <c r="U127" i="27"/>
  <c r="U128" i="27"/>
  <c r="U129" i="27"/>
  <c r="U130" i="27"/>
  <c r="U137" i="27"/>
  <c r="U139" i="27"/>
  <c r="U153" i="27"/>
  <c r="U156" i="27"/>
  <c r="U172" i="27"/>
  <c r="U178" i="27"/>
  <c r="U179" i="27"/>
  <c r="U192" i="27"/>
  <c r="U193" i="27"/>
  <c r="U198" i="27"/>
  <c r="U199" i="27"/>
  <c r="U200" i="27"/>
  <c r="U201" i="27"/>
  <c r="U202" i="27"/>
  <c r="U203" i="27"/>
  <c r="U204" i="27"/>
  <c r="U218" i="27"/>
  <c r="U241" i="27"/>
  <c r="U242" i="27"/>
  <c r="U243" i="27"/>
  <c r="U244" i="27"/>
  <c r="U245" i="27"/>
  <c r="U246" i="27"/>
  <c r="U247" i="27"/>
  <c r="U248" i="27"/>
  <c r="U250" i="27"/>
  <c r="U251" i="27"/>
  <c r="U253" i="27"/>
  <c r="U259" i="27"/>
  <c r="U261" i="27"/>
  <c r="U262" i="27"/>
  <c r="U269" i="27"/>
  <c r="U270" i="27"/>
  <c r="U271" i="27"/>
  <c r="U272" i="27"/>
  <c r="U295" i="27"/>
  <c r="U308" i="27"/>
  <c r="U309" i="27"/>
  <c r="U310" i="27"/>
  <c r="U311" i="27"/>
  <c r="U312" i="27"/>
  <c r="U314" i="27"/>
  <c r="U318" i="27"/>
  <c r="U321" i="27"/>
  <c r="U325" i="27"/>
  <c r="U328" i="27"/>
  <c r="U329" i="27"/>
  <c r="U333" i="27"/>
  <c r="U334" i="27"/>
  <c r="U335" i="27"/>
  <c r="U336" i="27"/>
  <c r="U338" i="27"/>
  <c r="U342" i="27"/>
  <c r="U343" i="27"/>
  <c r="U344" i="27"/>
  <c r="U345" i="27"/>
  <c r="U346" i="27"/>
  <c r="U347" i="27"/>
  <c r="U348" i="27"/>
  <c r="U349" i="27"/>
  <c r="U350" i="27"/>
  <c r="U351" i="27"/>
  <c r="U352" i="27"/>
  <c r="U353" i="27"/>
  <c r="U354" i="27"/>
  <c r="U355" i="27"/>
  <c r="U356" i="27"/>
  <c r="U357" i="27"/>
  <c r="U358" i="27"/>
  <c r="U359" i="27"/>
  <c r="U360" i="27"/>
  <c r="U361" i="27"/>
  <c r="U370" i="27"/>
  <c r="U371" i="27"/>
  <c r="U372" i="27"/>
  <c r="U374" i="27"/>
  <c r="U375" i="27"/>
  <c r="U376" i="27"/>
  <c r="U377" i="27"/>
  <c r="U32" i="27"/>
  <c r="U55" i="27"/>
  <c r="U73" i="27"/>
  <c r="U75" i="27"/>
  <c r="U77" i="27"/>
  <c r="U82" i="27"/>
  <c r="U83" i="27"/>
  <c r="U84" i="27"/>
  <c r="U85" i="27"/>
  <c r="U304" i="27"/>
  <c r="U305" i="27"/>
  <c r="X5" i="27"/>
  <c r="I26" i="31" s="1"/>
  <c r="Z5" i="27"/>
  <c r="AA5" i="27"/>
  <c r="C13" i="31" l="1"/>
  <c r="C14" i="31"/>
  <c r="E26" i="31"/>
  <c r="F398" i="27"/>
  <c r="G398" i="27"/>
  <c r="H398" i="27"/>
  <c r="I398" i="27"/>
  <c r="D14" i="31" s="1"/>
  <c r="E14" i="31" s="1"/>
  <c r="F10" i="28"/>
  <c r="G10" i="28"/>
  <c r="H10" i="28"/>
  <c r="D10" i="28"/>
  <c r="J304" i="27"/>
  <c r="K304" i="27"/>
  <c r="AE304" i="27"/>
  <c r="J305" i="27"/>
  <c r="K305" i="27"/>
  <c r="AE305" i="27"/>
  <c r="J85" i="27"/>
  <c r="K85" i="27"/>
  <c r="AE85" i="27"/>
  <c r="J82" i="27"/>
  <c r="K82" i="27"/>
  <c r="AE82" i="27"/>
  <c r="J83" i="27"/>
  <c r="K83" i="27"/>
  <c r="AE83" i="27"/>
  <c r="J84" i="27"/>
  <c r="K84" i="27"/>
  <c r="AE84" i="27"/>
  <c r="J77" i="27"/>
  <c r="K77" i="27"/>
  <c r="AE77" i="27"/>
  <c r="J75" i="27"/>
  <c r="K75" i="27"/>
  <c r="AE75" i="27"/>
  <c r="J73" i="27"/>
  <c r="K73" i="27"/>
  <c r="AE73" i="27"/>
  <c r="J32" i="27"/>
  <c r="K32" i="27"/>
  <c r="AE32" i="27"/>
  <c r="J179" i="27"/>
  <c r="K179" i="27"/>
  <c r="AE179" i="27"/>
  <c r="J318" i="27"/>
  <c r="K318" i="27"/>
  <c r="AE318" i="27"/>
  <c r="J262" i="27"/>
  <c r="K262" i="27"/>
  <c r="AE262" i="27"/>
  <c r="C15" i="31" l="1"/>
  <c r="D13" i="31"/>
  <c r="E13" i="31" s="1"/>
  <c r="D15" i="31"/>
  <c r="E15" i="31" s="1"/>
  <c r="J26" i="31"/>
  <c r="J172" i="27" l="1"/>
  <c r="J192" i="27"/>
  <c r="J193" i="27"/>
  <c r="J198" i="27"/>
  <c r="J200" i="27"/>
  <c r="J201" i="27"/>
  <c r="K172" i="27"/>
  <c r="K192" i="27"/>
  <c r="K193" i="27"/>
  <c r="K198" i="27"/>
  <c r="K200" i="27"/>
  <c r="K201" i="27"/>
  <c r="AE172" i="27"/>
  <c r="AE192" i="27"/>
  <c r="AE193" i="27"/>
  <c r="AE198" i="27"/>
  <c r="AE200" i="27"/>
  <c r="AE201" i="27"/>
  <c r="J202" i="27"/>
  <c r="J203" i="27"/>
  <c r="J204" i="27"/>
  <c r="K202" i="27"/>
  <c r="K203" i="27"/>
  <c r="K204" i="27"/>
  <c r="AE202" i="27"/>
  <c r="AE203" i="27"/>
  <c r="AE204" i="27"/>
  <c r="J295" i="27"/>
  <c r="K295" i="27"/>
  <c r="AE295" i="27"/>
  <c r="J376" i="27"/>
  <c r="K376" i="27"/>
  <c r="AE376" i="27"/>
  <c r="J377" i="27"/>
  <c r="K377" i="27"/>
  <c r="AE377" i="27"/>
  <c r="J199" i="27" l="1"/>
  <c r="K199" i="27"/>
  <c r="AE199" i="27"/>
  <c r="J218" i="27"/>
  <c r="K218" i="27"/>
  <c r="AE218" i="27"/>
  <c r="BF46" i="30" l="1"/>
  <c r="J46" i="30" s="1"/>
  <c r="BA46" i="30"/>
  <c r="AX46" i="30"/>
  <c r="I46" i="30" s="1"/>
  <c r="AV46" i="30"/>
  <c r="AT46" i="30"/>
  <c r="AP46" i="30"/>
  <c r="AO46" i="30"/>
  <c r="AM46" i="30"/>
  <c r="AK46" i="30"/>
  <c r="AH46" i="30"/>
  <c r="AE46" i="30"/>
  <c r="AC46" i="30"/>
  <c r="AD46" i="30" s="1"/>
  <c r="Z46" i="30"/>
  <c r="Y46" i="30"/>
  <c r="P46" i="30"/>
  <c r="BF45" i="30"/>
  <c r="J45" i="30" s="1"/>
  <c r="BA45" i="30"/>
  <c r="AX45" i="30"/>
  <c r="I45" i="30" s="1"/>
  <c r="AV45" i="30"/>
  <c r="AT45" i="30"/>
  <c r="AP45" i="30"/>
  <c r="AO45" i="30"/>
  <c r="AM45" i="30"/>
  <c r="AK45" i="30"/>
  <c r="AH45" i="30"/>
  <c r="AE45" i="30"/>
  <c r="AC45" i="30"/>
  <c r="AD45" i="30" s="1"/>
  <c r="Z45" i="30"/>
  <c r="Y45" i="30"/>
  <c r="P45" i="30"/>
  <c r="BF44" i="30"/>
  <c r="J44" i="30" s="1"/>
  <c r="BA44" i="30"/>
  <c r="AX44" i="30"/>
  <c r="I44" i="30" s="1"/>
  <c r="AV44" i="30"/>
  <c r="AT44" i="30"/>
  <c r="AP44" i="30"/>
  <c r="AO44" i="30"/>
  <c r="AM44" i="30"/>
  <c r="AK44" i="30"/>
  <c r="AH44" i="30"/>
  <c r="AE44" i="30"/>
  <c r="AC44" i="30"/>
  <c r="AD44" i="30" s="1"/>
  <c r="Z44" i="30"/>
  <c r="Y44" i="30"/>
  <c r="P44" i="30"/>
  <c r="BF43" i="30"/>
  <c r="J43" i="30" s="1"/>
  <c r="BA43" i="30"/>
  <c r="AX43" i="30"/>
  <c r="I43" i="30" s="1"/>
  <c r="AV43" i="30"/>
  <c r="AT43" i="30"/>
  <c r="AP43" i="30"/>
  <c r="AO43" i="30"/>
  <c r="AM43" i="30"/>
  <c r="AK43" i="30"/>
  <c r="AH43" i="30"/>
  <c r="AE43" i="30"/>
  <c r="AC43" i="30"/>
  <c r="AD43" i="30" s="1"/>
  <c r="Z43" i="30"/>
  <c r="Y43" i="30"/>
  <c r="P43" i="30"/>
  <c r="BF42" i="30"/>
  <c r="J42" i="30" s="1"/>
  <c r="BA42" i="30"/>
  <c r="AX42" i="30"/>
  <c r="I42" i="30" s="1"/>
  <c r="AV42" i="30"/>
  <c r="AT42" i="30"/>
  <c r="AP42" i="30"/>
  <c r="AO42" i="30"/>
  <c r="AM42" i="30"/>
  <c r="AK42" i="30"/>
  <c r="AH42" i="30"/>
  <c r="AE42" i="30"/>
  <c r="AC42" i="30"/>
  <c r="AD42" i="30" s="1"/>
  <c r="Z42" i="30"/>
  <c r="Y42" i="30"/>
  <c r="P42" i="30"/>
  <c r="BF41" i="30"/>
  <c r="J41" i="30" s="1"/>
  <c r="BA41" i="30"/>
  <c r="AX41" i="30"/>
  <c r="I41" i="30" s="1"/>
  <c r="AV41" i="30"/>
  <c r="AT41" i="30"/>
  <c r="AP41" i="30"/>
  <c r="AO41" i="30"/>
  <c r="AM41" i="30"/>
  <c r="AK41" i="30"/>
  <c r="AH41" i="30"/>
  <c r="AE41" i="30"/>
  <c r="AC41" i="30"/>
  <c r="AD41" i="30" s="1"/>
  <c r="Z41" i="30"/>
  <c r="Y41" i="30"/>
  <c r="P41" i="30"/>
  <c r="BF40" i="30"/>
  <c r="J40" i="30" s="1"/>
  <c r="BA40" i="30"/>
  <c r="AX40" i="30"/>
  <c r="AV40" i="30"/>
  <c r="AT40" i="30"/>
  <c r="AY40" i="30" s="1"/>
  <c r="H40" i="30" s="1"/>
  <c r="AP40" i="30"/>
  <c r="AO40" i="30"/>
  <c r="AM40" i="30"/>
  <c r="AK40" i="30"/>
  <c r="AH40" i="30"/>
  <c r="AE40" i="30"/>
  <c r="AC40" i="30"/>
  <c r="AD40" i="30" s="1"/>
  <c r="Z40" i="30"/>
  <c r="Y40" i="30"/>
  <c r="P40" i="30"/>
  <c r="I40" i="30"/>
  <c r="BF39" i="30"/>
  <c r="J39" i="30" s="1"/>
  <c r="BA39" i="30"/>
  <c r="AX39" i="30"/>
  <c r="AV39" i="30"/>
  <c r="AT39" i="30"/>
  <c r="AP39" i="30"/>
  <c r="AO39" i="30"/>
  <c r="AM39" i="30"/>
  <c r="AK39" i="30"/>
  <c r="AH39" i="30"/>
  <c r="AE39" i="30"/>
  <c r="AC39" i="30"/>
  <c r="AD39" i="30" s="1"/>
  <c r="Z39" i="30"/>
  <c r="Y39" i="30"/>
  <c r="P39" i="30"/>
  <c r="I39" i="30"/>
  <c r="BF38" i="30"/>
  <c r="J38" i="30" s="1"/>
  <c r="BA38" i="30"/>
  <c r="AX38" i="30"/>
  <c r="I38" i="30" s="1"/>
  <c r="AV38" i="30"/>
  <c r="AT38" i="30"/>
  <c r="AP38" i="30"/>
  <c r="AO38" i="30"/>
  <c r="AM38" i="30"/>
  <c r="AK38" i="30"/>
  <c r="AH38" i="30"/>
  <c r="AE38" i="30"/>
  <c r="AC38" i="30"/>
  <c r="AD38" i="30" s="1"/>
  <c r="Z38" i="30"/>
  <c r="Y38" i="30"/>
  <c r="P38" i="30"/>
  <c r="BF37" i="30"/>
  <c r="J37" i="30" s="1"/>
  <c r="BA37" i="30"/>
  <c r="AX37" i="30"/>
  <c r="AV37" i="30"/>
  <c r="AT37" i="30"/>
  <c r="AY37" i="30" s="1"/>
  <c r="H37" i="30" s="1"/>
  <c r="AP37" i="30"/>
  <c r="AO37" i="30"/>
  <c r="AM37" i="30"/>
  <c r="AK37" i="30"/>
  <c r="AH37" i="30"/>
  <c r="AE37" i="30"/>
  <c r="AC37" i="30"/>
  <c r="AD37" i="30" s="1"/>
  <c r="Z37" i="30"/>
  <c r="Y37" i="30"/>
  <c r="P37" i="30"/>
  <c r="I37" i="30"/>
  <c r="BF36" i="30"/>
  <c r="J36" i="30" s="1"/>
  <c r="BA36" i="30"/>
  <c r="AX36" i="30"/>
  <c r="AV36" i="30"/>
  <c r="AT36" i="30"/>
  <c r="AP36" i="30"/>
  <c r="AO36" i="30"/>
  <c r="AM36" i="30"/>
  <c r="AK36" i="30"/>
  <c r="AH36" i="30"/>
  <c r="AE36" i="30"/>
  <c r="AC36" i="30"/>
  <c r="AD36" i="30" s="1"/>
  <c r="Z36" i="30"/>
  <c r="Y36" i="30"/>
  <c r="P36" i="30"/>
  <c r="I36" i="30"/>
  <c r="BF35" i="30"/>
  <c r="J35" i="30" s="1"/>
  <c r="BA35" i="30"/>
  <c r="AX35" i="30"/>
  <c r="I35" i="30" s="1"/>
  <c r="AV35" i="30"/>
  <c r="AT35" i="30"/>
  <c r="AP35" i="30"/>
  <c r="AO35" i="30"/>
  <c r="AM35" i="30"/>
  <c r="AK35" i="30"/>
  <c r="AH35" i="30"/>
  <c r="AE35" i="30"/>
  <c r="AC35" i="30"/>
  <c r="AD35" i="30" s="1"/>
  <c r="Z35" i="30"/>
  <c r="Y35" i="30"/>
  <c r="P35" i="30"/>
  <c r="BF34" i="30"/>
  <c r="J34" i="30" s="1"/>
  <c r="BA34" i="30"/>
  <c r="AX34" i="30"/>
  <c r="I34" i="30" s="1"/>
  <c r="AV34" i="30"/>
  <c r="AT34" i="30"/>
  <c r="AP34" i="30"/>
  <c r="AO34" i="30"/>
  <c r="AM34" i="30"/>
  <c r="AK34" i="30"/>
  <c r="AH34" i="30"/>
  <c r="AE34" i="30"/>
  <c r="AC34" i="30"/>
  <c r="AD34" i="30" s="1"/>
  <c r="Z34" i="30"/>
  <c r="Y34" i="30"/>
  <c r="P34" i="30"/>
  <c r="BF33" i="30"/>
  <c r="J33" i="30" s="1"/>
  <c r="BA33" i="30"/>
  <c r="AX33" i="30"/>
  <c r="I33" i="30" s="1"/>
  <c r="AV33" i="30"/>
  <c r="AT33" i="30"/>
  <c r="AP33" i="30"/>
  <c r="AO33" i="30"/>
  <c r="AM33" i="30"/>
  <c r="AK33" i="30"/>
  <c r="AH33" i="30"/>
  <c r="AE33" i="30"/>
  <c r="AC33" i="30"/>
  <c r="AD33" i="30" s="1"/>
  <c r="Z33" i="30"/>
  <c r="Y33" i="30"/>
  <c r="P33" i="30"/>
  <c r="BF32" i="30"/>
  <c r="J32" i="30" s="1"/>
  <c r="BA32" i="30"/>
  <c r="AX32" i="30"/>
  <c r="I32" i="30" s="1"/>
  <c r="AV32" i="30"/>
  <c r="AT32" i="30"/>
  <c r="AP32" i="30"/>
  <c r="AO32" i="30"/>
  <c r="AM32" i="30"/>
  <c r="AK32" i="30"/>
  <c r="AH32" i="30"/>
  <c r="AE32" i="30"/>
  <c r="AC32" i="30"/>
  <c r="AD32" i="30" s="1"/>
  <c r="Z32" i="30"/>
  <c r="Y32" i="30"/>
  <c r="P32" i="30"/>
  <c r="BF31" i="30"/>
  <c r="J31" i="30" s="1"/>
  <c r="BA31" i="30"/>
  <c r="AX31" i="30"/>
  <c r="I31" i="30" s="1"/>
  <c r="AV31" i="30"/>
  <c r="AT31" i="30"/>
  <c r="AP31" i="30"/>
  <c r="AO31" i="30"/>
  <c r="AM31" i="30"/>
  <c r="AK31" i="30"/>
  <c r="AH31" i="30"/>
  <c r="AE31" i="30"/>
  <c r="AC31" i="30"/>
  <c r="AD31" i="30" s="1"/>
  <c r="Z31" i="30"/>
  <c r="Y31" i="30"/>
  <c r="P31" i="30"/>
  <c r="BF30" i="30"/>
  <c r="J30" i="30" s="1"/>
  <c r="BA30" i="30"/>
  <c r="AX30" i="30"/>
  <c r="I30" i="30" s="1"/>
  <c r="AV30" i="30"/>
  <c r="AT30" i="30"/>
  <c r="AP30" i="30"/>
  <c r="AO30" i="30"/>
  <c r="AM30" i="30"/>
  <c r="AK30" i="30"/>
  <c r="AH30" i="30"/>
  <c r="AE30" i="30"/>
  <c r="AC30" i="30"/>
  <c r="AD30" i="30" s="1"/>
  <c r="Z30" i="30"/>
  <c r="Y30" i="30"/>
  <c r="P30" i="30"/>
  <c r="BF29" i="30"/>
  <c r="J29" i="30" s="1"/>
  <c r="BA29" i="30"/>
  <c r="AX29" i="30"/>
  <c r="I29" i="30" s="1"/>
  <c r="AV29" i="30"/>
  <c r="AT29" i="30"/>
  <c r="AP29" i="30"/>
  <c r="AO29" i="30"/>
  <c r="AM29" i="30"/>
  <c r="AK29" i="30"/>
  <c r="AH29" i="30"/>
  <c r="AE29" i="30"/>
  <c r="AC29" i="30"/>
  <c r="AD29" i="30" s="1"/>
  <c r="Z29" i="30"/>
  <c r="Y29" i="30"/>
  <c r="P29" i="30"/>
  <c r="BF28" i="30"/>
  <c r="J28" i="30" s="1"/>
  <c r="BA28" i="30"/>
  <c r="AX28" i="30"/>
  <c r="I28" i="30" s="1"/>
  <c r="AV28" i="30"/>
  <c r="AT28" i="30"/>
  <c r="AP28" i="30"/>
  <c r="AO28" i="30"/>
  <c r="AM28" i="30"/>
  <c r="AK28" i="30"/>
  <c r="AH28" i="30"/>
  <c r="AE28" i="30"/>
  <c r="AC28" i="30"/>
  <c r="AD28" i="30" s="1"/>
  <c r="Z28" i="30"/>
  <c r="Y28" i="30"/>
  <c r="P28" i="30"/>
  <c r="BF27" i="30"/>
  <c r="J27" i="30" s="1"/>
  <c r="BA27" i="30"/>
  <c r="AX27" i="30"/>
  <c r="I27" i="30" s="1"/>
  <c r="AV27" i="30"/>
  <c r="AT27" i="30"/>
  <c r="AY27" i="30" s="1"/>
  <c r="H27" i="30" s="1"/>
  <c r="AP27" i="30"/>
  <c r="AO27" i="30"/>
  <c r="AM27" i="30"/>
  <c r="AK27" i="30"/>
  <c r="AH27" i="30"/>
  <c r="AE27" i="30"/>
  <c r="AC27" i="30"/>
  <c r="AD27" i="30" s="1"/>
  <c r="Z27" i="30"/>
  <c r="Y27" i="30"/>
  <c r="P27" i="30"/>
  <c r="BF26" i="30"/>
  <c r="J26" i="30" s="1"/>
  <c r="BA26" i="30"/>
  <c r="AX26" i="30"/>
  <c r="I26" i="30" s="1"/>
  <c r="AV26" i="30"/>
  <c r="AT26" i="30"/>
  <c r="AY26" i="30" s="1"/>
  <c r="H26" i="30" s="1"/>
  <c r="AP26" i="30"/>
  <c r="AO26" i="30"/>
  <c r="AM26" i="30"/>
  <c r="AK26" i="30"/>
  <c r="AH26" i="30"/>
  <c r="AE26" i="30"/>
  <c r="AC26" i="30"/>
  <c r="AD26" i="30" s="1"/>
  <c r="Z26" i="30"/>
  <c r="Y26" i="30"/>
  <c r="P26" i="30"/>
  <c r="BF25" i="30"/>
  <c r="J25" i="30" s="1"/>
  <c r="BA25" i="30"/>
  <c r="AX25" i="30"/>
  <c r="I25" i="30" s="1"/>
  <c r="AV25" i="30"/>
  <c r="AT25" i="30"/>
  <c r="AP25" i="30"/>
  <c r="AO25" i="30"/>
  <c r="AM25" i="30"/>
  <c r="AK25" i="30"/>
  <c r="AH25" i="30"/>
  <c r="AE25" i="30"/>
  <c r="AC25" i="30"/>
  <c r="AD25" i="30" s="1"/>
  <c r="Z25" i="30"/>
  <c r="Y25" i="30"/>
  <c r="P25" i="30"/>
  <c r="BF24" i="30"/>
  <c r="J24" i="30" s="1"/>
  <c r="BA24" i="30"/>
  <c r="AX24" i="30"/>
  <c r="I24" i="30" s="1"/>
  <c r="AV24" i="30"/>
  <c r="AT24" i="30"/>
  <c r="AP24" i="30"/>
  <c r="AO24" i="30"/>
  <c r="AM24" i="30"/>
  <c r="AK24" i="30"/>
  <c r="AH24" i="30"/>
  <c r="AE24" i="30"/>
  <c r="AC24" i="30"/>
  <c r="AD24" i="30" s="1"/>
  <c r="Z24" i="30"/>
  <c r="Y24" i="30"/>
  <c r="P24" i="30"/>
  <c r="BF23" i="30"/>
  <c r="J23" i="30" s="1"/>
  <c r="BA23" i="30"/>
  <c r="AX23" i="30"/>
  <c r="I23" i="30" s="1"/>
  <c r="AV23" i="30"/>
  <c r="AT23" i="30"/>
  <c r="AY23" i="30" s="1"/>
  <c r="H23" i="30" s="1"/>
  <c r="AP23" i="30"/>
  <c r="AO23" i="30"/>
  <c r="AM23" i="30"/>
  <c r="AK23" i="30"/>
  <c r="AH23" i="30"/>
  <c r="AE23" i="30"/>
  <c r="AC23" i="30"/>
  <c r="AD23" i="30" s="1"/>
  <c r="Z23" i="30"/>
  <c r="Y23" i="30"/>
  <c r="P23" i="30"/>
  <c r="BF22" i="30"/>
  <c r="J22" i="30" s="1"/>
  <c r="BA22" i="30"/>
  <c r="AX22" i="30"/>
  <c r="I22" i="30" s="1"/>
  <c r="AV22" i="30"/>
  <c r="AT22" i="30"/>
  <c r="AY22" i="30" s="1"/>
  <c r="H22" i="30" s="1"/>
  <c r="AP22" i="30"/>
  <c r="AO22" i="30"/>
  <c r="AM22" i="30"/>
  <c r="AK22" i="30"/>
  <c r="AH22" i="30"/>
  <c r="AE22" i="30"/>
  <c r="AC22" i="30"/>
  <c r="AD22" i="30" s="1"/>
  <c r="Z22" i="30"/>
  <c r="Y22" i="30"/>
  <c r="P22" i="30"/>
  <c r="BF21" i="30"/>
  <c r="J21" i="30" s="1"/>
  <c r="BA21" i="30"/>
  <c r="AX21" i="30"/>
  <c r="I21" i="30" s="1"/>
  <c r="AV21" i="30"/>
  <c r="AT21" i="30"/>
  <c r="AP21" i="30"/>
  <c r="AO21" i="30"/>
  <c r="AM21" i="30"/>
  <c r="AK21" i="30"/>
  <c r="AH21" i="30"/>
  <c r="AE21" i="30"/>
  <c r="AC21" i="30"/>
  <c r="AD21" i="30" s="1"/>
  <c r="Z21" i="30"/>
  <c r="Y21" i="30"/>
  <c r="P21" i="30"/>
  <c r="BF20" i="30"/>
  <c r="J20" i="30" s="1"/>
  <c r="BA20" i="30"/>
  <c r="AX20" i="30"/>
  <c r="I20" i="30" s="1"/>
  <c r="AV20" i="30"/>
  <c r="AT20" i="30"/>
  <c r="AP20" i="30"/>
  <c r="AO20" i="30"/>
  <c r="AM20" i="30"/>
  <c r="AK20" i="30"/>
  <c r="AH20" i="30"/>
  <c r="AE20" i="30"/>
  <c r="AC20" i="30"/>
  <c r="AD20" i="30" s="1"/>
  <c r="Z20" i="30"/>
  <c r="Y20" i="30"/>
  <c r="P20" i="30"/>
  <c r="BF19" i="30"/>
  <c r="J19" i="30" s="1"/>
  <c r="BA19" i="30"/>
  <c r="AX19" i="30"/>
  <c r="I19" i="30" s="1"/>
  <c r="AV19" i="30"/>
  <c r="AT19" i="30"/>
  <c r="AY19" i="30" s="1"/>
  <c r="H19" i="30" s="1"/>
  <c r="AP19" i="30"/>
  <c r="AO19" i="30"/>
  <c r="AM19" i="30"/>
  <c r="AK19" i="30"/>
  <c r="AH19" i="30"/>
  <c r="AE19" i="30"/>
  <c r="AC19" i="30"/>
  <c r="AD19" i="30" s="1"/>
  <c r="Z19" i="30"/>
  <c r="Y19" i="30"/>
  <c r="P19" i="30"/>
  <c r="BF18" i="30"/>
  <c r="J18" i="30" s="1"/>
  <c r="BA18" i="30"/>
  <c r="AX18" i="30"/>
  <c r="I18" i="30" s="1"/>
  <c r="AV18" i="30"/>
  <c r="AT18" i="30"/>
  <c r="AY18" i="30" s="1"/>
  <c r="H18" i="30" s="1"/>
  <c r="AP18" i="30"/>
  <c r="AO18" i="30"/>
  <c r="AM18" i="30"/>
  <c r="AK18" i="30"/>
  <c r="AH18" i="30"/>
  <c r="AE18" i="30"/>
  <c r="AC18" i="30"/>
  <c r="AD18" i="30" s="1"/>
  <c r="Z18" i="30"/>
  <c r="Y18" i="30"/>
  <c r="P18" i="30"/>
  <c r="BF17" i="30"/>
  <c r="J17" i="30" s="1"/>
  <c r="BA17" i="30"/>
  <c r="AX17" i="30"/>
  <c r="I17" i="30" s="1"/>
  <c r="AV17" i="30"/>
  <c r="AT17" i="30"/>
  <c r="AP17" i="30"/>
  <c r="AO17" i="30"/>
  <c r="AM17" i="30"/>
  <c r="AK17" i="30"/>
  <c r="AH17" i="30"/>
  <c r="AE17" i="30"/>
  <c r="AC17" i="30"/>
  <c r="AD17" i="30" s="1"/>
  <c r="Z17" i="30"/>
  <c r="Y17" i="30"/>
  <c r="P17" i="30"/>
  <c r="BF16" i="30"/>
  <c r="J16" i="30" s="1"/>
  <c r="BA16" i="30"/>
  <c r="AX16" i="30"/>
  <c r="I16" i="30" s="1"/>
  <c r="AV16" i="30"/>
  <c r="AT16" i="30"/>
  <c r="AP16" i="30"/>
  <c r="AO16" i="30"/>
  <c r="AM16" i="30"/>
  <c r="AK16" i="30"/>
  <c r="AH16" i="30"/>
  <c r="AE16" i="30"/>
  <c r="AC16" i="30"/>
  <c r="AD16" i="30" s="1"/>
  <c r="Z16" i="30"/>
  <c r="Y16" i="30"/>
  <c r="P16" i="30"/>
  <c r="BF15" i="30"/>
  <c r="J15" i="30" s="1"/>
  <c r="BA15" i="30"/>
  <c r="AX15" i="30"/>
  <c r="I15" i="30" s="1"/>
  <c r="AV15" i="30"/>
  <c r="AT15" i="30"/>
  <c r="AY15" i="30" s="1"/>
  <c r="H15" i="30" s="1"/>
  <c r="AP15" i="30"/>
  <c r="AO15" i="30"/>
  <c r="AM15" i="30"/>
  <c r="AK15" i="30"/>
  <c r="AH15" i="30"/>
  <c r="AE15" i="30"/>
  <c r="AC15" i="30"/>
  <c r="AD15" i="30" s="1"/>
  <c r="Z15" i="30"/>
  <c r="Y15" i="30"/>
  <c r="P15" i="30"/>
  <c r="BF14" i="30"/>
  <c r="J14" i="30" s="1"/>
  <c r="BA14" i="30"/>
  <c r="AX14" i="30"/>
  <c r="I14" i="30" s="1"/>
  <c r="AV14" i="30"/>
  <c r="AT14" i="30"/>
  <c r="AY14" i="30" s="1"/>
  <c r="H14" i="30" s="1"/>
  <c r="AP14" i="30"/>
  <c r="AO14" i="30"/>
  <c r="AM14" i="30"/>
  <c r="AK14" i="30"/>
  <c r="AH14" i="30"/>
  <c r="AE14" i="30"/>
  <c r="AC14" i="30"/>
  <c r="AD14" i="30" s="1"/>
  <c r="Z14" i="30"/>
  <c r="Y14" i="30"/>
  <c r="P14" i="30"/>
  <c r="BF13" i="30"/>
  <c r="J13" i="30" s="1"/>
  <c r="BA13" i="30"/>
  <c r="AX13" i="30"/>
  <c r="I13" i="30" s="1"/>
  <c r="AV13" i="30"/>
  <c r="AT13" i="30"/>
  <c r="AP13" i="30"/>
  <c r="AO13" i="30"/>
  <c r="AM13" i="30"/>
  <c r="AK13" i="30"/>
  <c r="AH13" i="30"/>
  <c r="AE13" i="30"/>
  <c r="AC13" i="30"/>
  <c r="AD13" i="30" s="1"/>
  <c r="Z13" i="30"/>
  <c r="Y13" i="30"/>
  <c r="P13" i="30"/>
  <c r="BF12" i="30"/>
  <c r="J12" i="30" s="1"/>
  <c r="BA12" i="30"/>
  <c r="AX12" i="30"/>
  <c r="I12" i="30" s="1"/>
  <c r="AV12" i="30"/>
  <c r="AT12" i="30"/>
  <c r="AP12" i="30"/>
  <c r="AO12" i="30"/>
  <c r="AM12" i="30"/>
  <c r="AK12" i="30"/>
  <c r="AH12" i="30"/>
  <c r="AE12" i="30"/>
  <c r="AC12" i="30"/>
  <c r="AD12" i="30" s="1"/>
  <c r="Z12" i="30"/>
  <c r="Y12" i="30"/>
  <c r="P12" i="30"/>
  <c r="BF11" i="30"/>
  <c r="J11" i="30" s="1"/>
  <c r="BA11" i="30"/>
  <c r="AX11" i="30"/>
  <c r="I11" i="30" s="1"/>
  <c r="AV11" i="30"/>
  <c r="AT11" i="30"/>
  <c r="AY11" i="30" s="1"/>
  <c r="H11" i="30" s="1"/>
  <c r="AP11" i="30"/>
  <c r="AO11" i="30"/>
  <c r="AM11" i="30"/>
  <c r="AK11" i="30"/>
  <c r="AH11" i="30"/>
  <c r="AE11" i="30"/>
  <c r="AC11" i="30"/>
  <c r="AD11" i="30" s="1"/>
  <c r="Z11" i="30"/>
  <c r="Y11" i="30"/>
  <c r="P11" i="30"/>
  <c r="N8" i="30"/>
  <c r="N7" i="30"/>
  <c r="A7" i="30"/>
  <c r="N6" i="30"/>
  <c r="A6" i="30"/>
  <c r="N5" i="30"/>
  <c r="N4" i="30"/>
  <c r="A4" i="30"/>
  <c r="N3" i="30"/>
  <c r="A3" i="30"/>
  <c r="N2" i="30"/>
  <c r="I9" i="28"/>
  <c r="I11" i="28"/>
  <c r="I10" i="28"/>
  <c r="AY13" i="30" l="1"/>
  <c r="H13" i="30" s="1"/>
  <c r="AY17" i="30"/>
  <c r="H17" i="30" s="1"/>
  <c r="AY21" i="30"/>
  <c r="H21" i="30" s="1"/>
  <c r="AY25" i="30"/>
  <c r="H25" i="30" s="1"/>
  <c r="AY29" i="30"/>
  <c r="H29" i="30" s="1"/>
  <c r="AY32" i="30"/>
  <c r="H32" i="30" s="1"/>
  <c r="AY33" i="30"/>
  <c r="H33" i="30" s="1"/>
  <c r="AY12" i="30"/>
  <c r="H12" i="30" s="1"/>
  <c r="AY16" i="30"/>
  <c r="H16" i="30" s="1"/>
  <c r="AY20" i="30"/>
  <c r="H20" i="30" s="1"/>
  <c r="AY24" i="30"/>
  <c r="H24" i="30" s="1"/>
  <c r="AY28" i="30"/>
  <c r="H28" i="30" s="1"/>
  <c r="AY36" i="30"/>
  <c r="H36" i="30" s="1"/>
  <c r="AY44" i="30"/>
  <c r="H44" i="30" s="1"/>
  <c r="A5" i="30"/>
  <c r="AY31" i="30"/>
  <c r="H31" i="30" s="1"/>
  <c r="AY35" i="30"/>
  <c r="H35" i="30" s="1"/>
  <c r="AY39" i="30"/>
  <c r="H39" i="30" s="1"/>
  <c r="AY43" i="30"/>
  <c r="H43" i="30" s="1"/>
  <c r="AY41" i="30"/>
  <c r="H41" i="30" s="1"/>
  <c r="AY45" i="30"/>
  <c r="H45" i="30" s="1"/>
  <c r="AY30" i="30"/>
  <c r="H30" i="30" s="1"/>
  <c r="AY34" i="30"/>
  <c r="H34" i="30" s="1"/>
  <c r="AY38" i="30"/>
  <c r="H38" i="30" s="1"/>
  <c r="AY42" i="30"/>
  <c r="H42" i="30" s="1"/>
  <c r="AY46" i="30"/>
  <c r="H46" i="30" s="1"/>
  <c r="C40" i="29" l="1"/>
  <c r="B40" i="29"/>
  <c r="E38" i="29"/>
  <c r="E39" i="29" s="1"/>
  <c r="C38" i="29"/>
  <c r="C39" i="29" s="1"/>
  <c r="F38" i="29"/>
  <c r="F39" i="29" s="1"/>
  <c r="G38" i="29"/>
  <c r="G39" i="29" s="1"/>
  <c r="D38" i="29"/>
  <c r="D39" i="29" s="1"/>
  <c r="B38" i="29"/>
  <c r="B39" i="29" s="1"/>
  <c r="H38" i="29"/>
  <c r="H4" i="29"/>
  <c r="F3" i="29"/>
  <c r="C4" i="29"/>
  <c r="H3" i="29"/>
  <c r="E4" i="29"/>
  <c r="E3" i="29"/>
  <c r="G3" i="29"/>
  <c r="D4" i="29"/>
  <c r="B4" i="29"/>
  <c r="F4" i="29"/>
  <c r="D3" i="29"/>
  <c r="B3" i="29"/>
  <c r="G4" i="29"/>
  <c r="C3" i="29"/>
  <c r="B2" i="29"/>
  <c r="F2" i="29"/>
  <c r="G2" i="29"/>
  <c r="E2" i="29"/>
  <c r="D2" i="29"/>
  <c r="C23" i="31"/>
  <c r="C2" i="29"/>
  <c r="G22" i="31"/>
  <c r="C22" i="31"/>
  <c r="F24" i="31"/>
  <c r="I25" i="31"/>
  <c r="E25" i="31"/>
  <c r="H23" i="31"/>
  <c r="E23" i="31"/>
  <c r="F22" i="31"/>
  <c r="I24" i="31"/>
  <c r="E24" i="31"/>
  <c r="H25" i="31"/>
  <c r="D25" i="31"/>
  <c r="G23" i="31"/>
  <c r="H22" i="31"/>
  <c r="D22" i="31"/>
  <c r="G24" i="31"/>
  <c r="C24" i="31"/>
  <c r="F25" i="31"/>
  <c r="I23" i="31"/>
  <c r="D23" i="31"/>
  <c r="E22" i="31"/>
  <c r="H24" i="31"/>
  <c r="D24" i="31"/>
  <c r="G25" i="31"/>
  <c r="C25" i="31"/>
  <c r="F23" i="31"/>
  <c r="H39" i="29"/>
  <c r="H2" i="29"/>
  <c r="G2" i="28"/>
  <c r="C2" i="28"/>
  <c r="F2" i="28"/>
  <c r="B2" i="28"/>
  <c r="E2" i="28"/>
  <c r="H2" i="28"/>
  <c r="D2" i="28"/>
  <c r="J24" i="31" l="1"/>
  <c r="E3" i="28"/>
  <c r="E4" i="28"/>
  <c r="E5" i="28"/>
  <c r="G3" i="28"/>
  <c r="G4" i="28"/>
  <c r="G5" i="28"/>
  <c r="B3" i="28"/>
  <c r="B4" i="28"/>
  <c r="I2" i="28"/>
  <c r="B5" i="28"/>
  <c r="D5" i="28"/>
  <c r="D4" i="28"/>
  <c r="D3" i="28"/>
  <c r="F5" i="28"/>
  <c r="F3" i="28"/>
  <c r="F4" i="28"/>
  <c r="H5" i="28"/>
  <c r="H3" i="28"/>
  <c r="H4" i="28" s="1"/>
  <c r="C5" i="28"/>
  <c r="C4" i="28"/>
  <c r="C3" i="28"/>
  <c r="I4" i="28" l="1"/>
  <c r="I5" i="28"/>
  <c r="I3" i="28"/>
  <c r="J261" i="27" l="1"/>
  <c r="K261" i="27"/>
  <c r="AE261" i="27"/>
  <c r="J259" i="27"/>
  <c r="K259" i="27"/>
  <c r="AE259" i="27"/>
  <c r="J178" i="27"/>
  <c r="J79" i="27"/>
  <c r="J78" i="27"/>
  <c r="K178" i="27"/>
  <c r="K79" i="27"/>
  <c r="K78" i="27"/>
  <c r="AE178" i="27"/>
  <c r="AE79" i="27"/>
  <c r="AE78" i="27"/>
  <c r="J55" i="27" l="1"/>
  <c r="K55" i="27"/>
  <c r="AE55" i="27"/>
  <c r="J375" i="27" l="1"/>
  <c r="K375" i="27"/>
  <c r="AE375" i="27"/>
  <c r="J370" i="27"/>
  <c r="K370" i="27"/>
  <c r="AE370" i="27"/>
  <c r="J333" i="27" l="1"/>
  <c r="K333" i="27"/>
  <c r="AE333" i="27"/>
  <c r="AE336" i="27"/>
  <c r="AE334" i="27"/>
  <c r="J104" i="27"/>
  <c r="K104" i="27"/>
  <c r="AE104" i="27"/>
  <c r="K105" i="27"/>
  <c r="AE105" i="27"/>
  <c r="J347" i="27"/>
  <c r="K347" i="27"/>
  <c r="AE347" i="27"/>
  <c r="J81" i="27"/>
  <c r="K81" i="27"/>
  <c r="AE81" i="27"/>
  <c r="J374" i="27"/>
  <c r="K374" i="27"/>
  <c r="AE374" i="27"/>
  <c r="J80" i="27"/>
  <c r="K80" i="27"/>
  <c r="AE80" i="27"/>
  <c r="J30" i="27"/>
  <c r="K30" i="27"/>
  <c r="AE30" i="27"/>
  <c r="J5" i="27"/>
  <c r="K5" i="27"/>
  <c r="AE5" i="27"/>
  <c r="J372" i="27"/>
  <c r="K372" i="27"/>
  <c r="AE372" i="27"/>
  <c r="J371" i="27"/>
  <c r="K371" i="27"/>
  <c r="AE371" i="27"/>
  <c r="J346" i="27"/>
  <c r="K346" i="27"/>
  <c r="AE346" i="27"/>
  <c r="J309" i="27"/>
  <c r="K309" i="27"/>
  <c r="AE309" i="27"/>
  <c r="J123" i="27"/>
  <c r="K123" i="27"/>
  <c r="AE123" i="27"/>
  <c r="J130" i="27"/>
  <c r="K130" i="27"/>
  <c r="AE130" i="27"/>
  <c r="J310" i="27"/>
  <c r="K310" i="27"/>
  <c r="AE310" i="27"/>
  <c r="J312" i="27"/>
  <c r="K312" i="27"/>
  <c r="AE312" i="27"/>
  <c r="J245" i="27"/>
  <c r="K245" i="27"/>
  <c r="AE245" i="27"/>
  <c r="J46" i="27" l="1"/>
  <c r="K46" i="27"/>
  <c r="AE46" i="27"/>
  <c r="AE52" i="27"/>
  <c r="J51" i="27"/>
  <c r="K51" i="27"/>
  <c r="AE51" i="27"/>
  <c r="AE49" i="27"/>
  <c r="K49" i="27"/>
  <c r="J49" i="27"/>
  <c r="AE361" i="27"/>
  <c r="K361" i="27"/>
  <c r="J361" i="27"/>
  <c r="AE360" i="27"/>
  <c r="K360" i="27"/>
  <c r="J360" i="27"/>
  <c r="AE359" i="27"/>
  <c r="K359" i="27"/>
  <c r="J359" i="27"/>
  <c r="AE358" i="27"/>
  <c r="K358" i="27"/>
  <c r="J358" i="27"/>
  <c r="AE357" i="27"/>
  <c r="K357" i="27"/>
  <c r="J357" i="27"/>
  <c r="AE356" i="27"/>
  <c r="K356" i="27"/>
  <c r="J356" i="27"/>
  <c r="AE355" i="27"/>
  <c r="K355" i="27"/>
  <c r="J355" i="27"/>
  <c r="AE354" i="27"/>
  <c r="K354" i="27"/>
  <c r="J354" i="27"/>
  <c r="AE353" i="27"/>
  <c r="K353" i="27"/>
  <c r="J353" i="27"/>
  <c r="AE352" i="27"/>
  <c r="K352" i="27"/>
  <c r="J352" i="27"/>
  <c r="AE351" i="27"/>
  <c r="K351" i="27"/>
  <c r="J351" i="27"/>
  <c r="AE350" i="27"/>
  <c r="K350" i="27"/>
  <c r="J350" i="27"/>
  <c r="AE349" i="27"/>
  <c r="K349" i="27"/>
  <c r="J349" i="27"/>
  <c r="AE348" i="27"/>
  <c r="K348" i="27"/>
  <c r="J348" i="27"/>
  <c r="AE345" i="27"/>
  <c r="K345" i="27"/>
  <c r="J345" i="27"/>
  <c r="AE344" i="27"/>
  <c r="K344" i="27"/>
  <c r="J344" i="27"/>
  <c r="AE343" i="27"/>
  <c r="K343" i="27"/>
  <c r="J343" i="27"/>
  <c r="AE342" i="27"/>
  <c r="K342" i="27"/>
  <c r="J342" i="27"/>
  <c r="AE338" i="27"/>
  <c r="AE335" i="27"/>
  <c r="AE329" i="27"/>
  <c r="AE328" i="27"/>
  <c r="AE325" i="27"/>
  <c r="AE321" i="27"/>
  <c r="AE314" i="27"/>
  <c r="K314" i="27"/>
  <c r="J314" i="27"/>
  <c r="AE311" i="27"/>
  <c r="K311" i="27"/>
  <c r="J311" i="27"/>
  <c r="AE308" i="27"/>
  <c r="K308" i="27"/>
  <c r="J308" i="27"/>
  <c r="AE272" i="27"/>
  <c r="K272" i="27"/>
  <c r="J272" i="27"/>
  <c r="AE271" i="27"/>
  <c r="K271" i="27"/>
  <c r="J271" i="27"/>
  <c r="AE270" i="27"/>
  <c r="K270" i="27"/>
  <c r="J270" i="27"/>
  <c r="AE269" i="27"/>
  <c r="K269" i="27"/>
  <c r="J269" i="27"/>
  <c r="AE253" i="27"/>
  <c r="K253" i="27"/>
  <c r="J253" i="27"/>
  <c r="AE251" i="27"/>
  <c r="K251" i="27"/>
  <c r="J251" i="27"/>
  <c r="AE250" i="27"/>
  <c r="K250" i="27"/>
  <c r="J250" i="27"/>
  <c r="AE248" i="27"/>
  <c r="K248" i="27"/>
  <c r="J248" i="27"/>
  <c r="AE247" i="27"/>
  <c r="K247" i="27"/>
  <c r="J247" i="27"/>
  <c r="AE246" i="27"/>
  <c r="K246" i="27"/>
  <c r="J246" i="27"/>
  <c r="AE244" i="27"/>
  <c r="K244" i="27"/>
  <c r="J244" i="27"/>
  <c r="AE243" i="27"/>
  <c r="K243" i="27"/>
  <c r="J243" i="27"/>
  <c r="AE242" i="27"/>
  <c r="K242" i="27"/>
  <c r="J242" i="27"/>
  <c r="AE241" i="27"/>
  <c r="K241" i="27"/>
  <c r="J241" i="27"/>
  <c r="AE156" i="27"/>
  <c r="K156" i="27"/>
  <c r="J156" i="27"/>
  <c r="AE153" i="27"/>
  <c r="K153" i="27"/>
  <c r="J153" i="27"/>
  <c r="AE139" i="27"/>
  <c r="K139" i="27"/>
  <c r="J139" i="27"/>
  <c r="AE137" i="27"/>
  <c r="K137" i="27"/>
  <c r="J137" i="27"/>
  <c r="AE129" i="27"/>
  <c r="K129" i="27"/>
  <c r="AE128" i="27"/>
  <c r="K128" i="27"/>
  <c r="J128" i="27"/>
  <c r="AE127" i="27"/>
  <c r="K127" i="27"/>
  <c r="J127" i="27"/>
  <c r="AE126" i="27"/>
  <c r="K126" i="27"/>
  <c r="J126" i="27"/>
  <c r="AE125" i="27"/>
  <c r="K125" i="27"/>
  <c r="J125" i="27"/>
  <c r="AE124" i="27"/>
  <c r="K124" i="27"/>
  <c r="J124" i="27"/>
  <c r="AE122" i="27"/>
  <c r="K122" i="27"/>
  <c r="J122" i="27"/>
  <c r="AE121" i="27"/>
  <c r="K121" i="27"/>
  <c r="J121" i="27"/>
  <c r="AE120" i="27"/>
  <c r="K120" i="27"/>
  <c r="J120" i="27"/>
  <c r="AE119" i="27"/>
  <c r="K119" i="27"/>
  <c r="J119" i="27"/>
  <c r="AE118" i="27"/>
  <c r="K118" i="27"/>
  <c r="J118" i="27"/>
  <c r="AE117" i="27"/>
  <c r="K117" i="27"/>
  <c r="J117" i="27"/>
  <c r="AE116" i="27"/>
  <c r="K116" i="27"/>
  <c r="J116" i="27"/>
  <c r="AE115" i="27"/>
  <c r="K115" i="27"/>
  <c r="AE114" i="27"/>
  <c r="K114" i="27"/>
  <c r="J114" i="27"/>
  <c r="AE113" i="27"/>
  <c r="K113" i="27"/>
  <c r="J113" i="27"/>
  <c r="AE112" i="27"/>
  <c r="K112" i="27"/>
  <c r="J112" i="27"/>
  <c r="AE111" i="27"/>
  <c r="K111" i="27"/>
  <c r="J111" i="27"/>
  <c r="AE110" i="27"/>
  <c r="K110" i="27"/>
  <c r="J110" i="27"/>
  <c r="AE109" i="27"/>
  <c r="K109" i="27"/>
  <c r="J109" i="27"/>
  <c r="AE108" i="27"/>
  <c r="K108" i="27"/>
  <c r="J108" i="27"/>
  <c r="AE107" i="27"/>
  <c r="K107" i="27"/>
  <c r="J107" i="27"/>
  <c r="AE74" i="27"/>
  <c r="K74" i="27"/>
  <c r="J74" i="27"/>
  <c r="AE72" i="27"/>
  <c r="K72" i="27"/>
  <c r="J72" i="27"/>
  <c r="AE71" i="27"/>
  <c r="K71" i="27"/>
  <c r="J71" i="27"/>
  <c r="AE70" i="27"/>
  <c r="K70" i="27"/>
  <c r="J70" i="27"/>
  <c r="AE67" i="27"/>
  <c r="K67" i="27"/>
  <c r="J67" i="27"/>
  <c r="AE64" i="27"/>
  <c r="K64" i="27"/>
  <c r="J64" i="27"/>
  <c r="AE58" i="27"/>
  <c r="K58" i="27"/>
  <c r="J58" i="27"/>
  <c r="AE56" i="27"/>
  <c r="K56" i="27"/>
  <c r="J56" i="27"/>
  <c r="AE45" i="27"/>
  <c r="K45" i="27"/>
  <c r="J45" i="27"/>
  <c r="AE41" i="27"/>
  <c r="K41" i="27"/>
  <c r="J41" i="27"/>
  <c r="AE40" i="27"/>
  <c r="K40" i="27"/>
  <c r="J40" i="27"/>
  <c r="AE39" i="27"/>
  <c r="K39" i="27"/>
  <c r="J39" i="27"/>
  <c r="AE38" i="27"/>
  <c r="K38" i="27"/>
  <c r="J38" i="27"/>
  <c r="AE37" i="27"/>
  <c r="K37" i="27"/>
  <c r="J37" i="27"/>
  <c r="AE36" i="27"/>
  <c r="K36" i="27"/>
  <c r="J36" i="27"/>
  <c r="AE35" i="27"/>
  <c r="K35" i="27"/>
  <c r="J35" i="27"/>
  <c r="AE34" i="27"/>
  <c r="K34" i="27"/>
  <c r="J34" i="27"/>
  <c r="AE33" i="27"/>
  <c r="K33" i="27"/>
  <c r="J33" i="27"/>
  <c r="AE31" i="27"/>
  <c r="K31" i="27"/>
  <c r="J31" i="27"/>
  <c r="AE29" i="27"/>
  <c r="K29" i="27"/>
  <c r="J29" i="27"/>
  <c r="AE28" i="27"/>
  <c r="K28" i="27"/>
  <c r="J28" i="27"/>
  <c r="AE27" i="27"/>
  <c r="K27" i="27"/>
  <c r="J27" i="27"/>
  <c r="AE25" i="27"/>
  <c r="J25" i="27"/>
  <c r="AE24" i="27"/>
  <c r="J24" i="27"/>
  <c r="AE23" i="27"/>
  <c r="K23" i="27"/>
  <c r="J23" i="27"/>
  <c r="AE22" i="27"/>
  <c r="K22" i="27"/>
  <c r="J22" i="27"/>
  <c r="AE21" i="27"/>
  <c r="K21" i="27"/>
  <c r="J21" i="27"/>
  <c r="AE20" i="27"/>
  <c r="K20" i="27"/>
  <c r="J20" i="27"/>
  <c r="AE19" i="27"/>
  <c r="K19" i="27"/>
  <c r="J19" i="27"/>
  <c r="I22" i="31" l="1"/>
  <c r="D17" i="31" l="1"/>
  <c r="E17" i="31" s="1"/>
  <c r="J22" i="31"/>
  <c r="J25" i="31"/>
  <c r="J23" i="31"/>
</calcChain>
</file>

<file path=xl/sharedStrings.xml><?xml version="1.0" encoding="utf-8"?>
<sst xmlns="http://schemas.openxmlformats.org/spreadsheetml/2006/main" count="2849" uniqueCount="605">
  <si>
    <t>Activité</t>
  </si>
  <si>
    <t>Entreprise</t>
  </si>
  <si>
    <t>Nb Objets Réalisés</t>
  </si>
  <si>
    <t>Date de demande + 10JO</t>
  </si>
  <si>
    <t>Nb Objets controlés</t>
  </si>
  <si>
    <t>Nb de CR</t>
  </si>
  <si>
    <t>Rapport de reprise par CR</t>
  </si>
  <si>
    <t xml:space="preserve"> Nb Reprise Mineur</t>
  </si>
  <si>
    <t>Pourcentage Reprise Mineur</t>
  </si>
  <si>
    <t>Nb Reprise Majeur</t>
  </si>
  <si>
    <t>Pourcentage Reprise Majeur</t>
  </si>
  <si>
    <t>Date d'envoie liste complète des reprises</t>
  </si>
  <si>
    <t>Transport</t>
  </si>
  <si>
    <t>HERRAS</t>
  </si>
  <si>
    <t>BRISA03</t>
  </si>
  <si>
    <t>SMT</t>
  </si>
  <si>
    <t>CHEMA07</t>
  </si>
  <si>
    <t>CHEMA05</t>
  </si>
  <si>
    <t>BRISA05</t>
  </si>
  <si>
    <t>BYON</t>
  </si>
  <si>
    <t>POLYKABEL</t>
  </si>
  <si>
    <t>ASPEN</t>
  </si>
  <si>
    <t>BEAUF01</t>
  </si>
  <si>
    <t>DOUEA01</t>
  </si>
  <si>
    <t>CHEMA01</t>
  </si>
  <si>
    <t>Date de demande de Recette</t>
  </si>
  <si>
    <t>Nb Objets Total</t>
  </si>
  <si>
    <t>Méca</t>
  </si>
  <si>
    <t>Commentaire</t>
  </si>
  <si>
    <t>Fait</t>
  </si>
  <si>
    <t>Nb de CR non conforme</t>
  </si>
  <si>
    <t>Nb de point d'audit</t>
  </si>
  <si>
    <t>Description des criticitées</t>
  </si>
  <si>
    <t>MAUSL03</t>
  </si>
  <si>
    <t>Objets contrôlés / Total</t>
  </si>
  <si>
    <t>Objets contrôlés / Réalisés</t>
  </si>
  <si>
    <t>BRISA02</t>
  </si>
  <si>
    <t>Pourcentage de fiche non conforme</t>
  </si>
  <si>
    <t>Pourcentage de fiche conformes</t>
  </si>
  <si>
    <t>Nb de CR conformes</t>
  </si>
  <si>
    <t>NRO</t>
  </si>
  <si>
    <t>BRISQ</t>
  </si>
  <si>
    <t>BFVAL</t>
  </si>
  <si>
    <t>FLOLV</t>
  </si>
  <si>
    <t>DOULF</t>
  </si>
  <si>
    <t>CHEMI</t>
  </si>
  <si>
    <t>THOUA</t>
  </si>
  <si>
    <t>BEAUF02</t>
  </si>
  <si>
    <t>CHEMA03</t>
  </si>
  <si>
    <t>X</t>
  </si>
  <si>
    <t>Nb de reprises Optiques</t>
  </si>
  <si>
    <t>Pourcentage de reprises Optiques validées</t>
  </si>
  <si>
    <t>Pourcentage de reprise Optique réalisé</t>
  </si>
  <si>
    <t>Nb de reprises Optiques réalisées</t>
  </si>
  <si>
    <t>Nb de reprises Optiques validées</t>
  </si>
  <si>
    <t>Nb de reprises Optique / CR</t>
  </si>
  <si>
    <t>MACMG</t>
  </si>
  <si>
    <t>MAUSL01</t>
  </si>
  <si>
    <t>PM</t>
  </si>
  <si>
    <t>BEAUF04</t>
  </si>
  <si>
    <t>MAUSL04</t>
  </si>
  <si>
    <t>SEVRM01</t>
  </si>
  <si>
    <t>BEAUF05</t>
  </si>
  <si>
    <t>SOGETREL</t>
  </si>
  <si>
    <t>Etat</t>
  </si>
  <si>
    <t>En cours</t>
  </si>
  <si>
    <t>Nb de reprises critique</t>
  </si>
  <si>
    <t>Pourcentage Reprise critique</t>
  </si>
  <si>
    <t>Nb de reprises validées Critique</t>
  </si>
  <si>
    <t>Nb de reprises validées Majeur</t>
  </si>
  <si>
    <t>Nb de reprises validées Mineur</t>
  </si>
  <si>
    <t>Nb de reprises Restantes Mineur</t>
  </si>
  <si>
    <t>Nb de reprises Restantes Majeur</t>
  </si>
  <si>
    <t>Nb de reprises Restantes Critique</t>
  </si>
  <si>
    <t>Nb de reprises restantes</t>
  </si>
  <si>
    <t>CHEMA04</t>
  </si>
  <si>
    <t>Nb de reprises lors de l'audit</t>
  </si>
  <si>
    <t>Nb de reprises total</t>
  </si>
  <si>
    <t>Opti</t>
  </si>
  <si>
    <t>Nb de reprises optiques Restantes</t>
  </si>
  <si>
    <t>Reprises critique par CR</t>
  </si>
  <si>
    <t>BELSU07</t>
  </si>
  <si>
    <t>BEAUF03</t>
  </si>
  <si>
    <t>CHEMA06</t>
  </si>
  <si>
    <t>BEGRO01</t>
  </si>
  <si>
    <t>BELSU11</t>
  </si>
  <si>
    <t>SEGAJ</t>
  </si>
  <si>
    <t>SEGAJ01</t>
  </si>
  <si>
    <t>Critique</t>
  </si>
  <si>
    <t>SEVRM32</t>
  </si>
  <si>
    <t>SEVRM34</t>
  </si>
  <si>
    <t>BEAUF06</t>
  </si>
  <si>
    <t>CHEMA19</t>
  </si>
  <si>
    <t>MAUSL02</t>
  </si>
  <si>
    <t>BRISA01</t>
  </si>
  <si>
    <t>BELSU02</t>
  </si>
  <si>
    <t>BELSU04</t>
  </si>
  <si>
    <t>BELSU05</t>
  </si>
  <si>
    <t>BELSU06</t>
  </si>
  <si>
    <t>BELSU08</t>
  </si>
  <si>
    <t>BELSU09</t>
  </si>
  <si>
    <t>BELSU10</t>
  </si>
  <si>
    <t>BELSU12</t>
  </si>
  <si>
    <t>TERRA01</t>
  </si>
  <si>
    <t>TERRA06</t>
  </si>
  <si>
    <t>CHEMA15</t>
  </si>
  <si>
    <t>Colonne1</t>
  </si>
  <si>
    <t>CHEMA17</t>
  </si>
  <si>
    <t>CHEMA25</t>
  </si>
  <si>
    <t>SEVRM42</t>
  </si>
  <si>
    <t>SEVRM41</t>
  </si>
  <si>
    <t>CHEMA13</t>
  </si>
  <si>
    <t>CHEMA22</t>
  </si>
  <si>
    <t>BEAUF07</t>
  </si>
  <si>
    <t>SEVRM03</t>
  </si>
  <si>
    <t>SEVRM39</t>
  </si>
  <si>
    <t>CHEMA12</t>
  </si>
  <si>
    <t>CHEMA24</t>
  </si>
  <si>
    <t>SEVRM37</t>
  </si>
  <si>
    <t>SEVRM29</t>
  </si>
  <si>
    <t>SEVRM33</t>
  </si>
  <si>
    <t>SEVRM30</t>
  </si>
  <si>
    <t>SEVRM02</t>
  </si>
  <si>
    <t>BPREA</t>
  </si>
  <si>
    <t>BPREA05</t>
  </si>
  <si>
    <t>CHEMA16</t>
  </si>
  <si>
    <t>CHEMA35</t>
  </si>
  <si>
    <t>VALAN</t>
  </si>
  <si>
    <t>MAUSL25</t>
  </si>
  <si>
    <t>CHEMA20</t>
  </si>
  <si>
    <t>CHEMA09</t>
  </si>
  <si>
    <t>BPREA17</t>
  </si>
  <si>
    <t>BPREA28</t>
  </si>
  <si>
    <t>JALAI</t>
  </si>
  <si>
    <t>BEGRO03</t>
  </si>
  <si>
    <t>Mesure</t>
  </si>
  <si>
    <t>Date de mesure</t>
  </si>
  <si>
    <t>SEVRM31</t>
  </si>
  <si>
    <t>SEVRM35</t>
  </si>
  <si>
    <t>SEVRM38</t>
  </si>
  <si>
    <t>SEVRM40</t>
  </si>
  <si>
    <t>DossierMesure</t>
  </si>
  <si>
    <t>DOUEA04</t>
  </si>
  <si>
    <t>SEGAJ13</t>
  </si>
  <si>
    <t>SEGAJ30</t>
  </si>
  <si>
    <t>CHEMA02</t>
  </si>
  <si>
    <t>CHEMA11</t>
  </si>
  <si>
    <t>CHEMA14</t>
  </si>
  <si>
    <t>CHEMA23</t>
  </si>
  <si>
    <t>CHEMA08</t>
  </si>
  <si>
    <t>CHEMA37</t>
  </si>
  <si>
    <t>BPREA01</t>
  </si>
  <si>
    <t>BEGRO02</t>
  </si>
  <si>
    <t>BPREA12</t>
  </si>
  <si>
    <t>PMLIM</t>
  </si>
  <si>
    <t>MONTE22</t>
  </si>
  <si>
    <t>Fibres TC NOK</t>
  </si>
  <si>
    <t>Date envoie dossier mesure</t>
  </si>
  <si>
    <t>Valeur Critique</t>
  </si>
  <si>
    <t>NOK</t>
  </si>
  <si>
    <t>BPREA33</t>
  </si>
  <si>
    <t>GESTE</t>
  </si>
  <si>
    <t>MONTE06</t>
  </si>
  <si>
    <t>MONTE11</t>
  </si>
  <si>
    <t>BPREA20</t>
  </si>
  <si>
    <t>SEGAJ15</t>
  </si>
  <si>
    <t>MSLOI</t>
  </si>
  <si>
    <t>MAUSL19</t>
  </si>
  <si>
    <t>OREEA20</t>
  </si>
  <si>
    <t>SEGAJ25</t>
  </si>
  <si>
    <t>MAUSL24</t>
  </si>
  <si>
    <t>MAUSL21</t>
  </si>
  <si>
    <t>MAUSL22</t>
  </si>
  <si>
    <t>MAUSL26</t>
  </si>
  <si>
    <t>MONTE13</t>
  </si>
  <si>
    <t>DRAIN</t>
  </si>
  <si>
    <t>OREEA01</t>
  </si>
  <si>
    <t>STDLA</t>
  </si>
  <si>
    <t>OREEA28</t>
  </si>
  <si>
    <t>SEGAJ09</t>
  </si>
  <si>
    <t>LONGR</t>
  </si>
  <si>
    <t>SEVRM28</t>
  </si>
  <si>
    <t>CODE IG</t>
  </si>
  <si>
    <t>4902341</t>
  </si>
  <si>
    <t>4912603</t>
  </si>
  <si>
    <t>4933127</t>
  </si>
  <si>
    <t>4933132</t>
  </si>
  <si>
    <t>4933139</t>
  </si>
  <si>
    <t>SEVRM08</t>
  </si>
  <si>
    <t>4917902</t>
  </si>
  <si>
    <t>BPREA09</t>
  </si>
  <si>
    <t>DOE REC</t>
  </si>
  <si>
    <t>BPREA11</t>
  </si>
  <si>
    <t>En reprise</t>
  </si>
  <si>
    <t>MAUSL07</t>
  </si>
  <si>
    <t>OREEA19</t>
  </si>
  <si>
    <t>OREEA23</t>
  </si>
  <si>
    <t>CHEMA26</t>
  </si>
  <si>
    <t>CHEMA18</t>
  </si>
  <si>
    <t>OREEA06</t>
  </si>
  <si>
    <t>SEVRM09</t>
  </si>
  <si>
    <t>AUBIL01</t>
  </si>
  <si>
    <t>TERRA03</t>
  </si>
  <si>
    <t>TERRA02</t>
  </si>
  <si>
    <t>BELSU01</t>
  </si>
  <si>
    <t>TERRA05</t>
  </si>
  <si>
    <t>BRISA14</t>
  </si>
  <si>
    <t>BRISA15</t>
  </si>
  <si>
    <t>SEVRM16</t>
  </si>
  <si>
    <t>STGEM</t>
  </si>
  <si>
    <t>SEGAJ22</t>
  </si>
  <si>
    <t>SEGAJ27</t>
  </si>
  <si>
    <t>SEGAJ24</t>
  </si>
  <si>
    <t>CHAZE01</t>
  </si>
  <si>
    <t>CHAZE02</t>
  </si>
  <si>
    <t>GARLS04</t>
  </si>
  <si>
    <t>BRISA13</t>
  </si>
  <si>
    <t>BRISA12</t>
  </si>
  <si>
    <t>MAZEM05</t>
  </si>
  <si>
    <t>MAZEM03</t>
  </si>
  <si>
    <t>Panier</t>
  </si>
  <si>
    <t>PANIER Mécanique</t>
  </si>
  <si>
    <t>SEMAINE</t>
  </si>
  <si>
    <t>MOIS</t>
  </si>
  <si>
    <t>ANNEE</t>
  </si>
  <si>
    <t>FUZION</t>
  </si>
  <si>
    <t>PANIER MESURE</t>
  </si>
  <si>
    <t>PANIER DOSSIER</t>
  </si>
  <si>
    <t>TOTAL</t>
  </si>
  <si>
    <t>Reprise Optique</t>
  </si>
  <si>
    <t>Reprise Optique Critique</t>
  </si>
  <si>
    <t>TC NOK</t>
  </si>
  <si>
    <t>PRODUCTION</t>
  </si>
  <si>
    <t>DOE Reçus</t>
  </si>
  <si>
    <t>PM En cours de recette</t>
  </si>
  <si>
    <t>PM En cours de reprises Critique</t>
  </si>
  <si>
    <t>PM en cours de reprises</t>
  </si>
  <si>
    <t>PM Terminés</t>
  </si>
  <si>
    <t>DOE</t>
  </si>
  <si>
    <t>Zone déclaré à Recetter</t>
  </si>
  <si>
    <t>Ref</t>
  </si>
  <si>
    <t>Rep Méca2</t>
  </si>
  <si>
    <t>Date de fin  de Recette</t>
  </si>
  <si>
    <t>Méca2</t>
  </si>
  <si>
    <t>Optique</t>
  </si>
  <si>
    <t>TFX</t>
  </si>
  <si>
    <t>GC</t>
  </si>
  <si>
    <t>Dossier de mesure</t>
  </si>
  <si>
    <t>Commentaire2</t>
  </si>
  <si>
    <t>BFVAL00</t>
  </si>
  <si>
    <t>Pas Fourni</t>
  </si>
  <si>
    <t>Dossier de recette a refaire</t>
  </si>
  <si>
    <t>FLOLV00</t>
  </si>
  <si>
    <t>LIANG00</t>
  </si>
  <si>
    <t>LIANG</t>
  </si>
  <si>
    <t>LIANG02</t>
  </si>
  <si>
    <t>tc nok</t>
  </si>
  <si>
    <t>LIANG08</t>
  </si>
  <si>
    <t>BRISQ00</t>
  </si>
  <si>
    <t>BRISA04</t>
  </si>
  <si>
    <t>THOUA00</t>
  </si>
  <si>
    <t>BELSU03</t>
  </si>
  <si>
    <t>TERRA04</t>
  </si>
  <si>
    <t>MACMG00</t>
  </si>
  <si>
    <t>RepriseMéca</t>
  </si>
  <si>
    <t>ERDRE01</t>
  </si>
  <si>
    <t>GREZN01</t>
  </si>
  <si>
    <t>GREZN02</t>
  </si>
  <si>
    <t>LIANG01</t>
  </si>
  <si>
    <t>LIANG03</t>
  </si>
  <si>
    <t>LIANG04</t>
  </si>
  <si>
    <t>LIANG05</t>
  </si>
  <si>
    <t>LIANG06</t>
  </si>
  <si>
    <t>LIANG07</t>
  </si>
  <si>
    <t>MTSMA01</t>
  </si>
  <si>
    <t>THORI01</t>
  </si>
  <si>
    <t>THORI02</t>
  </si>
  <si>
    <t>Colonne2</t>
  </si>
  <si>
    <t>MAZEM06</t>
  </si>
  <si>
    <t>ROCSL</t>
  </si>
  <si>
    <t>ROCSL01</t>
  </si>
  <si>
    <t>GARLS06</t>
  </si>
  <si>
    <t>BPREA16</t>
  </si>
  <si>
    <t>BRISA09</t>
  </si>
  <si>
    <t>BRISA11</t>
  </si>
  <si>
    <t>BRISA16</t>
  </si>
  <si>
    <t>BRISA17</t>
  </si>
  <si>
    <t>BRISA18</t>
  </si>
  <si>
    <t>BRISA19</t>
  </si>
  <si>
    <t>POUAN</t>
  </si>
  <si>
    <t>OMBRE09</t>
  </si>
  <si>
    <t>OMBRE10</t>
  </si>
  <si>
    <t>TOTAL réceptionné</t>
  </si>
  <si>
    <t>Total fait</t>
  </si>
  <si>
    <t>Numero Semaine</t>
  </si>
  <si>
    <t>Année</t>
  </si>
  <si>
    <t>N° semaine Date de Mesure</t>
  </si>
  <si>
    <t>Année mesure</t>
  </si>
  <si>
    <t>Date 1ere Relance Dossier Optique</t>
  </si>
  <si>
    <t>Date Achevement  Mécanique</t>
  </si>
  <si>
    <t>N°semaine Achevement Mecanique</t>
  </si>
  <si>
    <t>Année Achevement Mecanique</t>
  </si>
  <si>
    <t>Dossier de mesure Conforme</t>
  </si>
  <si>
    <t>Mécanique Conforme</t>
  </si>
  <si>
    <t>Validation Transport Complet</t>
  </si>
  <si>
    <t>Avancement des Reprises de transport</t>
  </si>
  <si>
    <t>Bonjour,</t>
  </si>
  <si>
    <t>Voici les Tableaux d'avancement des recettes et des reprises de S</t>
  </si>
  <si>
    <t>DOUEA02</t>
  </si>
  <si>
    <t>DOUEA03</t>
  </si>
  <si>
    <t>DOUEA07</t>
  </si>
  <si>
    <t>DOUEA10</t>
  </si>
  <si>
    <t>DOUEA14</t>
  </si>
  <si>
    <t>DOUEA15</t>
  </si>
  <si>
    <t>DOUEA19</t>
  </si>
  <si>
    <t>DOUEA08</t>
  </si>
  <si>
    <t>DOUEA09</t>
  </si>
  <si>
    <t>DOUEA13</t>
  </si>
  <si>
    <t>DOUEA16</t>
  </si>
  <si>
    <t>LOURS01</t>
  </si>
  <si>
    <t>TUFFA01</t>
  </si>
  <si>
    <t>TUFFA03</t>
  </si>
  <si>
    <t>DOUEA05</t>
  </si>
  <si>
    <t>TIECE</t>
  </si>
  <si>
    <t>TIECE01</t>
  </si>
  <si>
    <t>TIECE03</t>
  </si>
  <si>
    <t>TIECE05</t>
  </si>
  <si>
    <t>CONTG</t>
  </si>
  <si>
    <t>MIREA01</t>
  </si>
  <si>
    <t>NOYAN</t>
  </si>
  <si>
    <t>NOYAN11</t>
  </si>
  <si>
    <t>BAUGE</t>
  </si>
  <si>
    <t>BAUGE01</t>
  </si>
  <si>
    <t>BAUGE03</t>
  </si>
  <si>
    <t>BAUGE08</t>
  </si>
  <si>
    <t>BAUGE09</t>
  </si>
  <si>
    <t>BAUGE11</t>
  </si>
  <si>
    <t>BAUGE13</t>
  </si>
  <si>
    <t>BAUGE14</t>
  </si>
  <si>
    <t>BAUGE17</t>
  </si>
  <si>
    <t>BAUGE23</t>
  </si>
  <si>
    <t>CHACE</t>
  </si>
  <si>
    <t>CHACE02</t>
  </si>
  <si>
    <t>VARIN02</t>
  </si>
  <si>
    <t>BREZE02</t>
  </si>
  <si>
    <t>STCYB02</t>
  </si>
  <si>
    <t>CHACE01</t>
  </si>
  <si>
    <t>ALLON</t>
  </si>
  <si>
    <t>ALLON02</t>
  </si>
  <si>
    <t>ALLON04</t>
  </si>
  <si>
    <t>BRAIN01</t>
  </si>
  <si>
    <t>DURTA01</t>
  </si>
  <si>
    <t>DURTA05</t>
  </si>
  <si>
    <t>DURTA06</t>
  </si>
  <si>
    <t>DURTA</t>
  </si>
  <si>
    <t>GELON</t>
  </si>
  <si>
    <t>GENVA03</t>
  </si>
  <si>
    <t>STCLE01</t>
  </si>
  <si>
    <t>STCLE02</t>
  </si>
  <si>
    <t>GENVA09</t>
  </si>
  <si>
    <t>GENVA12</t>
  </si>
  <si>
    <t>GENNE</t>
  </si>
  <si>
    <t>GENVA17</t>
  </si>
  <si>
    <t>GENVA01</t>
  </si>
  <si>
    <t>GENVA10</t>
  </si>
  <si>
    <t>JARZE</t>
  </si>
  <si>
    <t>JARZE01</t>
  </si>
  <si>
    <t>MORSD</t>
  </si>
  <si>
    <t>MORSD03</t>
  </si>
  <si>
    <t>MORSD06</t>
  </si>
  <si>
    <t>VERNA</t>
  </si>
  <si>
    <t>VERNA01</t>
  </si>
  <si>
    <t>VERNA02</t>
  </si>
  <si>
    <t>VERNA03</t>
  </si>
  <si>
    <t>DOUEA17</t>
  </si>
  <si>
    <t>HAUTS03</t>
  </si>
  <si>
    <t>MOE</t>
  </si>
  <si>
    <t>Statut</t>
  </si>
  <si>
    <t>Date de recette</t>
  </si>
  <si>
    <t>Date d'envoie du dossier</t>
  </si>
  <si>
    <t>Ratio NnConformité:objets</t>
  </si>
  <si>
    <t>Nombre objets contrôlés</t>
  </si>
  <si>
    <t>Etat Réflecto</t>
  </si>
  <si>
    <t>Etat Mécanique</t>
  </si>
  <si>
    <t>PM en  reprise Optique</t>
  </si>
  <si>
    <t>PM en reprise Mécanique</t>
  </si>
  <si>
    <t>Semaine</t>
  </si>
  <si>
    <t>CANDE06</t>
  </si>
  <si>
    <t>CANDE</t>
  </si>
  <si>
    <t>Validé</t>
  </si>
  <si>
    <t>Date validation Optique</t>
  </si>
  <si>
    <t>Ratio Critique:Objet</t>
  </si>
  <si>
    <t>Nb Non conforme  initiale</t>
  </si>
  <si>
    <t>Nb Critique</t>
  </si>
  <si>
    <t>Nb Reprises restantes</t>
  </si>
  <si>
    <t>Date de validation reprise</t>
  </si>
  <si>
    <t>validé</t>
  </si>
  <si>
    <t>x</t>
  </si>
  <si>
    <t>STMEL01</t>
  </si>
  <si>
    <t>STMEL02</t>
  </si>
  <si>
    <t>STMEL03</t>
  </si>
  <si>
    <t>MAZEM01</t>
  </si>
  <si>
    <t>BFVAK+LL</t>
  </si>
  <si>
    <t>MAZEM04</t>
  </si>
  <si>
    <t>MAZEM07</t>
  </si>
  <si>
    <t>OMBRE03</t>
  </si>
  <si>
    <t>OMBRE15</t>
  </si>
  <si>
    <t>OMBRE08</t>
  </si>
  <si>
    <t>COMBE</t>
  </si>
  <si>
    <t xml:space="preserve"> Mesure PM</t>
  </si>
  <si>
    <t>Dossier de Mesure Transport</t>
  </si>
  <si>
    <t>Pm Audité</t>
  </si>
  <si>
    <t>Total</t>
  </si>
  <si>
    <t>% Réalisation</t>
  </si>
  <si>
    <t>Tâche</t>
  </si>
  <si>
    <t>guillaume.beauchesne@tdf.fr&gt;; romain.arrive@tdf.fr</t>
  </si>
  <si>
    <t>DOUEA11</t>
  </si>
  <si>
    <t>GENVA02</t>
  </si>
  <si>
    <t>PM  optique validé</t>
  </si>
  <si>
    <t>N° Semaine Dossier mesure</t>
  </si>
  <si>
    <t>Année dossier mesure</t>
  </si>
  <si>
    <t>Objet  (Pm,NRO,BTR)</t>
  </si>
  <si>
    <t xml:space="preserve">Transpot </t>
  </si>
  <si>
    <t>BEAUF11</t>
  </si>
  <si>
    <t>BOISA02</t>
  </si>
  <si>
    <t>BOISA05</t>
  </si>
  <si>
    <t>???</t>
  </si>
  <si>
    <t>dans le  corps de cet email, vous trouverez les réalisations d'audit transport de la S</t>
  </si>
  <si>
    <t>Réserve Mécanique Critique</t>
  </si>
  <si>
    <t xml:space="preserve">Réserve Mécanique </t>
  </si>
  <si>
    <t>Transport mesuré</t>
  </si>
  <si>
    <t>Optique Validé</t>
  </si>
  <si>
    <t>Stock mesure</t>
  </si>
  <si>
    <t>BPREA27</t>
  </si>
  <si>
    <t>BPREA24</t>
  </si>
  <si>
    <t>BPREA25</t>
  </si>
  <si>
    <t>BPREA26</t>
  </si>
  <si>
    <t>BPREA29</t>
  </si>
  <si>
    <t>BPREA32</t>
  </si>
  <si>
    <t>MAULE</t>
  </si>
  <si>
    <t>MAULE04</t>
  </si>
  <si>
    <t>MAULE01</t>
  </si>
  <si>
    <t>En Reprise</t>
  </si>
  <si>
    <t>Recette Meca</t>
  </si>
  <si>
    <t>NB Tronçon NRO-PM recetté (méca + optique)</t>
  </si>
  <si>
    <t>ANGRI01</t>
  </si>
  <si>
    <t>ARTA01</t>
  </si>
  <si>
    <t>BAUGE05</t>
  </si>
  <si>
    <t>BAUSL01</t>
  </si>
  <si>
    <t>BAUSL03</t>
  </si>
  <si>
    <t>BLAIS01</t>
  </si>
  <si>
    <t>BPREA07</t>
  </si>
  <si>
    <t>BPREA08</t>
  </si>
  <si>
    <t>BPREA10</t>
  </si>
  <si>
    <t>BPREA13</t>
  </si>
  <si>
    <t>BPREA14</t>
  </si>
  <si>
    <t>BPREA19</t>
  </si>
  <si>
    <t>BPREA23</t>
  </si>
  <si>
    <t>BRISA10</t>
  </si>
  <si>
    <t>CANDE01</t>
  </si>
  <si>
    <t>CANDE02</t>
  </si>
  <si>
    <t>CANDE03</t>
  </si>
  <si>
    <t>CANDE04</t>
  </si>
  <si>
    <t>CERQE01</t>
  </si>
  <si>
    <t>CERQE02</t>
  </si>
  <si>
    <t>CHALL01</t>
  </si>
  <si>
    <t>CHALL02</t>
  </si>
  <si>
    <t>CHALL03</t>
  </si>
  <si>
    <t>CHALL04</t>
  </si>
  <si>
    <t>CHALL05</t>
  </si>
  <si>
    <t>CHALL06</t>
  </si>
  <si>
    <t>CHALL12</t>
  </si>
  <si>
    <t>CHAML02</t>
  </si>
  <si>
    <t>CHAML03</t>
  </si>
  <si>
    <t>CHEFE02</t>
  </si>
  <si>
    <t>CHEMA27</t>
  </si>
  <si>
    <t>CHEMA28</t>
  </si>
  <si>
    <t>CHEMA29</t>
  </si>
  <si>
    <t>CHEMA30</t>
  </si>
  <si>
    <t>CHEMA31</t>
  </si>
  <si>
    <t>CHEMA34</t>
  </si>
  <si>
    <t>CHEMA36</t>
  </si>
  <si>
    <t>CHEMA38</t>
  </si>
  <si>
    <t>CHEMA39</t>
  </si>
  <si>
    <t>CHEMA40</t>
  </si>
  <si>
    <t>CHEMA41</t>
  </si>
  <si>
    <t>CHEMA42</t>
  </si>
  <si>
    <t>COUCH01</t>
  </si>
  <si>
    <t>COUDA01</t>
  </si>
  <si>
    <t>COUDA02</t>
  </si>
  <si>
    <t>DENEE01</t>
  </si>
  <si>
    <t>DENEE02</t>
  </si>
  <si>
    <t>DISTR01</t>
  </si>
  <si>
    <t>DISTR02</t>
  </si>
  <si>
    <t>DISTR03</t>
  </si>
  <si>
    <t>ERDRE04</t>
  </si>
  <si>
    <t>ERDRE10</t>
  </si>
  <si>
    <t>FONTA01</t>
  </si>
  <si>
    <t>FONTA02</t>
  </si>
  <si>
    <t>FONTA03</t>
  </si>
  <si>
    <t>GARLS01</t>
  </si>
  <si>
    <t>GARLS02</t>
  </si>
  <si>
    <t>GARLS03</t>
  </si>
  <si>
    <t>GARLS07</t>
  </si>
  <si>
    <t>GARLS08</t>
  </si>
  <si>
    <t>JURVA01</t>
  </si>
  <si>
    <t>LEPUY01</t>
  </si>
  <si>
    <t>LOIRA01</t>
  </si>
  <si>
    <t>LOIRA05</t>
  </si>
  <si>
    <t>LOIRA06</t>
  </si>
  <si>
    <t>LOIRA08</t>
  </si>
  <si>
    <t>LOIRA09</t>
  </si>
  <si>
    <t>LOIRA10</t>
  </si>
  <si>
    <t>LOIRA12</t>
  </si>
  <si>
    <t>LOIRA14</t>
  </si>
  <si>
    <t>LOIRA17</t>
  </si>
  <si>
    <t>LOIRA18</t>
  </si>
  <si>
    <t>LOIRA20</t>
  </si>
  <si>
    <t>LOIRA24</t>
  </si>
  <si>
    <t>LOIRE01</t>
  </si>
  <si>
    <t>LONGJ02</t>
  </si>
  <si>
    <t>LONGJ03</t>
  </si>
  <si>
    <t>LONGJ05</t>
  </si>
  <si>
    <t>LONGJ06</t>
  </si>
  <si>
    <t>LONGJ07</t>
  </si>
  <si>
    <t>LONGJ08</t>
  </si>
  <si>
    <t>LONGJ10</t>
  </si>
  <si>
    <t>LONGJ11</t>
  </si>
  <si>
    <t>LYSHL01</t>
  </si>
  <si>
    <t>LYSHL02</t>
  </si>
  <si>
    <t>LYSHL07</t>
  </si>
  <si>
    <t>LYSHL10</t>
  </si>
  <si>
    <t>LYSHL11</t>
  </si>
  <si>
    <t>LYSHL12</t>
  </si>
  <si>
    <t>MARCE01</t>
  </si>
  <si>
    <t>MAULE03</t>
  </si>
  <si>
    <t>MAULE05</t>
  </si>
  <si>
    <t>MAULE06</t>
  </si>
  <si>
    <t>MAUSL23</t>
  </si>
  <si>
    <t>MAUSL27</t>
  </si>
  <si>
    <t>MAUSL28</t>
  </si>
  <si>
    <t>MAULS31</t>
  </si>
  <si>
    <t>MAULS32</t>
  </si>
  <si>
    <t>MAULS33</t>
  </si>
  <si>
    <t>MENIT01</t>
  </si>
  <si>
    <t>MENIT02</t>
  </si>
  <si>
    <t>MIREA02</t>
  </si>
  <si>
    <t>MONSO01</t>
  </si>
  <si>
    <t>MONTB02</t>
  </si>
  <si>
    <t>MONTB03</t>
  </si>
  <si>
    <t>MONTB07</t>
  </si>
  <si>
    <t>MONTB09</t>
  </si>
  <si>
    <t>MONTE04</t>
  </si>
  <si>
    <t>MONTE05</t>
  </si>
  <si>
    <t>MONTE10</t>
  </si>
  <si>
    <t>MONTE16</t>
  </si>
  <si>
    <t>MONTE17</t>
  </si>
  <si>
    <t>MONTE21</t>
  </si>
  <si>
    <t>MONTE23</t>
  </si>
  <si>
    <t>MONTE27</t>
  </si>
  <si>
    <t>MONTE30</t>
  </si>
  <si>
    <t>MOZEL01</t>
  </si>
  <si>
    <t>MOZEL02</t>
  </si>
  <si>
    <t>MOZEL03</t>
  </si>
  <si>
    <t>OMBRE01</t>
  </si>
  <si>
    <t>OMBRE04</t>
  </si>
  <si>
    <t>OMBRE05</t>
  </si>
  <si>
    <t>OMBRE06</t>
  </si>
  <si>
    <t>OMBRE07</t>
  </si>
  <si>
    <t>OMBRE12</t>
  </si>
  <si>
    <t>OREEA27</t>
  </si>
  <si>
    <t>PARNY01</t>
  </si>
  <si>
    <t>PARNY02</t>
  </si>
  <si>
    <t>PLAIN01</t>
  </si>
  <si>
    <t>ROCSL04</t>
  </si>
  <si>
    <t>ROUMA02</t>
  </si>
  <si>
    <t>SEGAJ02</t>
  </si>
  <si>
    <t>SEGAJ03</t>
  </si>
  <si>
    <t>SEGAJ08</t>
  </si>
  <si>
    <t>SEGAJ10</t>
  </si>
  <si>
    <t>SEGAJ11</t>
  </si>
  <si>
    <t>SEGAJ17</t>
  </si>
  <si>
    <t>SEGAJ19</t>
  </si>
  <si>
    <t>SEGAJ20</t>
  </si>
  <si>
    <t>SEGAJ29</t>
  </si>
  <si>
    <t>SEGAJ31</t>
  </si>
  <si>
    <t>SEISL01</t>
  </si>
  <si>
    <t>SEISL03</t>
  </si>
  <si>
    <t>SOMLO01</t>
  </si>
  <si>
    <t>SOMLO02</t>
  </si>
  <si>
    <t>TURQT01</t>
  </si>
  <si>
    <t>VALDL05</t>
  </si>
  <si>
    <t>VALEA06</t>
  </si>
  <si>
    <t>VAREL01</t>
  </si>
  <si>
    <t>VAREL03</t>
  </si>
  <si>
    <t>VAUDE01</t>
  </si>
  <si>
    <t>VERNO01</t>
  </si>
  <si>
    <t>YZERN01</t>
  </si>
  <si>
    <t>YZERN02</t>
  </si>
  <si>
    <t>YZERN03</t>
  </si>
  <si>
    <t>BLAIS</t>
  </si>
  <si>
    <t>CHALL</t>
  </si>
  <si>
    <t>LONGJ</t>
  </si>
  <si>
    <t>MONSO</t>
  </si>
  <si>
    <t>MONTB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</si>
</sst>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AA60E"/>
        <bgColor indexed="64"/>
      </patternFill>
    </fill>
    <fill>
      <patternFill patternType="solid">
        <fgColor rgb="FFFF9900"/>
        <bgColor indexed="64"/>
      </patternFill>
    </fill>
  </fills>
  <borders count="41">
    <border>
      <left/>
      <right/>
      <top/>
      <bottom/>
      <diagonal/>
    </border>
    <border>
      <left style="medium">
        <color rgb="FFFF9900"/>
      </left>
      <right style="medium">
        <color rgb="FFFF9900"/>
      </right>
      <top style="medium">
        <color rgb="FFFF9900"/>
      </top>
      <bottom style="medium">
        <color rgb="FFFF99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6" borderId="1"/>
  </cellStyleXfs>
  <cellXfs count="125">
    <xf numFmtId="0" fontId="0" fillId="0" borderId="0" xfId="0"/>
    <xf numFmtId="1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0" fontId="0" fillId="2" borderId="0" xfId="0" applyNumberFormat="1" applyFill="1" applyAlignment="1">
      <alignment horizontal="center" vertical="center" wrapText="1"/>
    </xf>
    <xf numFmtId="2" fontId="0" fillId="0" borderId="0" xfId="0" applyNumberFormat="1"/>
    <xf numFmtId="2" fontId="0" fillId="3" borderId="0" xfId="0" applyNumberForma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0" fontId="0" fillId="2" borderId="0" xfId="0" applyNumberFormat="1" applyFill="1" applyAlignment="1" applyProtection="1">
      <alignment horizontal="center" vertical="center" wrapText="1"/>
      <protection locked="0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0" fillId="5" borderId="0" xfId="0" applyFill="1" applyAlignment="1">
      <alignment horizontal="center" vertical="center" wrapText="1"/>
    </xf>
    <xf numFmtId="0" fontId="0" fillId="5" borderId="0" xfId="0" applyFill="1" applyAlignment="1" applyProtection="1">
      <alignment horizontal="center" vertical="center" wrapText="1"/>
      <protection locked="0"/>
    </xf>
    <xf numFmtId="10" fontId="0" fillId="5" borderId="0" xfId="0" applyNumberFormat="1" applyFill="1" applyAlignment="1" applyProtection="1">
      <alignment horizontal="center" vertical="center" wrapText="1"/>
      <protection locked="0"/>
    </xf>
    <xf numFmtId="0" fontId="0" fillId="0" borderId="0" xfId="0" applyNumberFormat="1" applyFill="1" applyAlignment="1">
      <alignment horizontal="center" vertical="center" wrapText="1"/>
    </xf>
    <xf numFmtId="0" fontId="0" fillId="5" borderId="0" xfId="0" applyNumberFormat="1" applyFill="1" applyAlignment="1">
      <alignment horizontal="center" vertical="center" wrapText="1"/>
    </xf>
    <xf numFmtId="0" fontId="0" fillId="4" borderId="0" xfId="0" applyNumberFormat="1" applyFill="1" applyAlignment="1">
      <alignment horizontal="center" vertical="center" wrapText="1"/>
    </xf>
    <xf numFmtId="0" fontId="0" fillId="3" borderId="0" xfId="0" applyNumberFormat="1" applyFill="1" applyAlignment="1">
      <alignment horizontal="center" vertical="center" wrapText="1"/>
    </xf>
    <xf numFmtId="10" fontId="0" fillId="3" borderId="0" xfId="0" applyNumberForma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textRotation="255" wrapText="1"/>
    </xf>
    <xf numFmtId="0" fontId="1" fillId="3" borderId="0" xfId="0" applyNumberFormat="1" applyFont="1" applyFill="1" applyAlignment="1">
      <alignment horizontal="center" vertical="center" wrapText="1"/>
    </xf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2" fontId="0" fillId="0" borderId="2" xfId="0" applyNumberFormat="1" applyBorder="1"/>
    <xf numFmtId="2" fontId="0" fillId="0" borderId="4" xfId="0" applyNumberFormat="1" applyBorder="1"/>
    <xf numFmtId="2" fontId="0" fillId="0" borderId="6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1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/>
    <xf numFmtId="14" fontId="0" fillId="0" borderId="0" xfId="0" applyNumberFormat="1" applyProtection="1">
      <protection locked="0"/>
    </xf>
    <xf numFmtId="0" fontId="4" fillId="0" borderId="0" xfId="0" applyNumberFormat="1" applyFont="1" applyAlignment="1">
      <alignment horizontal="center" vertical="center" textRotation="255" wrapText="1"/>
    </xf>
    <xf numFmtId="10" fontId="0" fillId="0" borderId="0" xfId="0" applyNumberFormat="1" applyFill="1" applyAlignment="1">
      <alignment horizontal="center" vertical="center" wrapText="1"/>
    </xf>
    <xf numFmtId="14" fontId="6" fillId="0" borderId="0" xfId="0" applyNumberFormat="1" applyFont="1"/>
    <xf numFmtId="0" fontId="6" fillId="0" borderId="0" xfId="0" applyFont="1"/>
    <xf numFmtId="14" fontId="0" fillId="8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5" fillId="0" borderId="0" xfId="0" applyFont="1"/>
    <xf numFmtId="1" fontId="0" fillId="0" borderId="0" xfId="0" applyNumberFormat="1" applyAlignment="1">
      <alignment horizontal="center" vertical="center" wrapText="1"/>
    </xf>
    <xf numFmtId="1" fontId="0" fillId="0" borderId="0" xfId="0" applyNumberFormat="1"/>
    <xf numFmtId="1" fontId="0" fillId="2" borderId="0" xfId="0" applyNumberFormat="1" applyFill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textRotation="255" wrapText="1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8" fillId="8" borderId="0" xfId="0" applyFont="1" applyFill="1" applyBorder="1" applyAlignment="1">
      <alignment horizontal="left" vertical="top"/>
    </xf>
    <xf numFmtId="0" fontId="8" fillId="8" borderId="0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0" fontId="0" fillId="10" borderId="29" xfId="0" applyFill="1" applyBorder="1" applyAlignment="1">
      <alignment horizontal="center" vertical="center"/>
    </xf>
    <xf numFmtId="0" fontId="0" fillId="10" borderId="30" xfId="0" applyFill="1" applyBorder="1" applyAlignment="1">
      <alignment horizontal="center" vertical="center"/>
    </xf>
    <xf numFmtId="1" fontId="0" fillId="9" borderId="7" xfId="0" applyNumberForma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11" borderId="10" xfId="0" applyFill="1" applyBorder="1"/>
    <xf numFmtId="0" fontId="0" fillId="9" borderId="14" xfId="0" applyFill="1" applyBorder="1"/>
    <xf numFmtId="0" fontId="0" fillId="9" borderId="15" xfId="0" applyFill="1" applyBorder="1"/>
    <xf numFmtId="2" fontId="0" fillId="9" borderId="3" xfId="0" applyNumberFormat="1" applyFill="1" applyBorder="1"/>
    <xf numFmtId="2" fontId="0" fillId="9" borderId="5" xfId="0" applyNumberFormat="1" applyFill="1" applyBorder="1"/>
    <xf numFmtId="2" fontId="0" fillId="9" borderId="10" xfId="0" applyNumberFormat="1" applyFill="1" applyBorder="1"/>
    <xf numFmtId="2" fontId="0" fillId="9" borderId="11" xfId="0" applyNumberFormat="1" applyFill="1" applyBorder="1"/>
    <xf numFmtId="2" fontId="0" fillId="9" borderId="12" xfId="0" applyNumberFormat="1" applyFill="1" applyBorder="1"/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NumberFormat="1" applyFill="1" applyBorder="1" applyAlignment="1">
      <alignment horizontal="center" vertical="center"/>
    </xf>
    <xf numFmtId="2" fontId="0" fillId="11" borderId="19" xfId="0" applyNumberFormat="1" applyFill="1" applyBorder="1" applyAlignment="1">
      <alignment horizontal="center"/>
    </xf>
    <xf numFmtId="2" fontId="0" fillId="9" borderId="36" xfId="0" applyNumberFormat="1" applyFill="1" applyBorder="1"/>
    <xf numFmtId="0" fontId="1" fillId="9" borderId="0" xfId="0" applyFont="1" applyFill="1" applyAlignment="1">
      <alignment horizontal="center" vertical="center" wrapText="1"/>
    </xf>
    <xf numFmtId="1" fontId="1" fillId="9" borderId="0" xfId="0" applyNumberFormat="1" applyFont="1" applyFill="1" applyAlignment="1">
      <alignment horizontal="center" vertical="center" wrapText="1"/>
    </xf>
    <xf numFmtId="0" fontId="1" fillId="9" borderId="0" xfId="0" applyNumberFormat="1" applyFont="1" applyFill="1" applyAlignment="1">
      <alignment horizontal="center" vertical="center" wrapText="1"/>
    </xf>
    <xf numFmtId="14" fontId="1" fillId="9" borderId="0" xfId="0" applyNumberFormat="1" applyFont="1" applyFill="1" applyAlignment="1">
      <alignment horizontal="center" vertical="center" wrapText="1"/>
    </xf>
    <xf numFmtId="1" fontId="0" fillId="9" borderId="0" xfId="0" applyNumberFormat="1" applyFill="1" applyAlignment="1">
      <alignment horizontal="center" vertical="center" wrapText="1"/>
    </xf>
    <xf numFmtId="0" fontId="0" fillId="9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1" fontId="0" fillId="8" borderId="0" xfId="0" applyNumberFormat="1" applyFill="1" applyBorder="1" applyAlignment="1">
      <alignment horizontal="center" vertical="center"/>
    </xf>
    <xf numFmtId="0" fontId="0" fillId="9" borderId="37" xfId="0" applyFill="1" applyBorder="1" applyAlignment="1">
      <alignment horizontal="center" vertical="center"/>
    </xf>
    <xf numFmtId="0" fontId="0" fillId="8" borderId="37" xfId="0" applyNumberFormat="1" applyFill="1" applyBorder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10" fontId="0" fillId="8" borderId="10" xfId="0" applyNumberFormat="1" applyFill="1" applyBorder="1" applyAlignment="1">
      <alignment horizontal="center" vertical="center"/>
    </xf>
    <xf numFmtId="10" fontId="0" fillId="9" borderId="11" xfId="0" applyNumberFormat="1" applyFill="1" applyBorder="1" applyAlignment="1">
      <alignment horizontal="center" vertical="center"/>
    </xf>
    <xf numFmtId="10" fontId="0" fillId="8" borderId="11" xfId="0" applyNumberFormat="1" applyFill="1" applyBorder="1" applyAlignment="1">
      <alignment horizontal="center" vertical="center"/>
    </xf>
    <xf numFmtId="10" fontId="0" fillId="8" borderId="12" xfId="0" applyNumberFormat="1" applyFill="1" applyBorder="1" applyAlignment="1">
      <alignment horizontal="center" vertical="center"/>
    </xf>
    <xf numFmtId="14" fontId="0" fillId="9" borderId="0" xfId="0" applyNumberFormat="1" applyFill="1" applyAlignment="1">
      <alignment horizontal="center" vertical="center" wrapText="1"/>
    </xf>
    <xf numFmtId="165" fontId="0" fillId="0" borderId="0" xfId="0" applyNumberFormat="1"/>
    <xf numFmtId="2" fontId="0" fillId="11" borderId="16" xfId="0" applyNumberFormat="1" applyFill="1" applyBorder="1" applyAlignment="1">
      <alignment horizontal="center"/>
    </xf>
    <xf numFmtId="2" fontId="0" fillId="11" borderId="17" xfId="0" applyNumberFormat="1" applyFill="1" applyBorder="1" applyAlignment="1">
      <alignment horizontal="center"/>
    </xf>
    <xf numFmtId="2" fontId="0" fillId="11" borderId="18" xfId="0" applyNumberFormat="1" applyFill="1" applyBorder="1" applyAlignment="1">
      <alignment horizontal="center"/>
    </xf>
    <xf numFmtId="0" fontId="9" fillId="9" borderId="21" xfId="0" applyNumberFormat="1" applyFont="1" applyFill="1" applyBorder="1" applyAlignment="1">
      <alignment horizontal="center" vertical="center"/>
    </xf>
    <xf numFmtId="0" fontId="9" fillId="9" borderId="23" xfId="0" applyNumberFormat="1" applyFont="1" applyFill="1" applyBorder="1" applyAlignment="1">
      <alignment horizontal="center" vertical="center"/>
    </xf>
    <xf numFmtId="0" fontId="9" fillId="9" borderId="24" xfId="0" applyNumberFormat="1" applyFont="1" applyFill="1" applyBorder="1" applyAlignment="1">
      <alignment horizontal="center" vertical="center"/>
    </xf>
    <xf numFmtId="0" fontId="9" fillId="9" borderId="25" xfId="0" applyNumberFormat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8" borderId="0" xfId="0" applyFont="1" applyFill="1" applyBorder="1" applyAlignment="1">
      <alignment horizontal="left" vertical="center" wrapText="1"/>
    </xf>
  </cellXfs>
  <cellStyles count="2">
    <cellStyle name="mem_style_ref_ptFF9900" xfId="1" xr:uid="{16DDF669-D00D-4FD2-AF59-8C144CC99CC8}"/>
    <cellStyle name="Normal" xfId="0" builtinId="0"/>
  </cellStyles>
  <dxfs count="124">
    <dxf>
      <numFmt numFmtId="19" formatCode="dd/mm/yyyy"/>
    </dxf>
    <dxf>
      <numFmt numFmtId="1" formatCode="0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" formatCode="0"/>
    </dxf>
    <dxf>
      <numFmt numFmtId="1" formatCode="0"/>
    </dxf>
    <dxf>
      <numFmt numFmtId="1" formatCode="0"/>
    </dxf>
    <dxf>
      <numFmt numFmtId="19" formatCode="dd/mm/yyyy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1" formatCode="0"/>
    </dxf>
    <dxf>
      <numFmt numFmtId="0" formatCode="General"/>
    </dxf>
    <dxf>
      <numFmt numFmtId="0" formatCode="General"/>
    </dxf>
    <dxf>
      <numFmt numFmtId="1" formatCode="0"/>
    </dxf>
    <dxf>
      <numFmt numFmtId="1" formatCode="0"/>
    </dxf>
    <dxf>
      <numFmt numFmtId="164" formatCode="m/d/yyyy"/>
    </dxf>
    <dxf>
      <numFmt numFmtId="0" formatCode="General"/>
    </dxf>
    <dxf>
      <numFmt numFmtId="1" formatCode="0"/>
    </dxf>
    <dxf>
      <numFmt numFmtId="164" formatCode="m/d/yyyy"/>
    </dxf>
    <dxf>
      <numFmt numFmtId="1" formatCode="0"/>
    </dxf>
    <dxf>
      <numFmt numFmtId="1" formatCode="0"/>
    </dxf>
    <dxf>
      <numFmt numFmtId="164" formatCode="m/d/yyyy"/>
    </dxf>
    <dxf>
      <numFmt numFmtId="0" formatCode="General"/>
    </dxf>
    <dxf>
      <numFmt numFmtId="0" formatCode="General"/>
    </dxf>
    <dxf>
      <numFmt numFmtId="1" formatCode="0"/>
    </dxf>
    <dxf>
      <numFmt numFmtId="1" formatCode="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rgb="FF0AA60E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0" formatCode="General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yy"/>
    </dxf>
    <dxf>
      <numFmt numFmtId="14" formatCode="0.00%"/>
    </dxf>
    <dxf>
      <numFmt numFmtId="2" formatCode="0.00"/>
    </dxf>
    <dxf>
      <numFmt numFmtId="14" formatCode="0.00%"/>
    </dxf>
    <dxf>
      <numFmt numFmtId="0" formatCode="General"/>
    </dxf>
    <dxf>
      <numFmt numFmtId="14" formatCode="0.00%"/>
    </dxf>
    <dxf>
      <numFmt numFmtId="14" formatCode="0.00%"/>
    </dxf>
    <dxf>
      <numFmt numFmtId="0" formatCode="General"/>
    </dxf>
    <dxf>
      <numFmt numFmtId="2" formatCode="0.00"/>
    </dxf>
    <dxf>
      <numFmt numFmtId="0" formatCode="General"/>
    </dxf>
    <dxf>
      <numFmt numFmtId="0" formatCode="General"/>
    </dxf>
    <dxf>
      <numFmt numFmtId="14" formatCode="0.00%"/>
    </dxf>
    <dxf>
      <numFmt numFmtId="14" formatCode="0.00%"/>
    </dxf>
    <dxf>
      <numFmt numFmtId="0" formatCode="General"/>
    </dxf>
    <dxf>
      <numFmt numFmtId="14" formatCode="0.00%"/>
    </dxf>
    <dxf>
      <numFmt numFmtId="14" formatCode="0.00%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font>
        <sz val="8"/>
      </font>
      <numFmt numFmtId="164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m/d/yyyy"/>
    </dxf>
    <dxf>
      <numFmt numFmtId="164" formatCode="m/d/yyyy"/>
    </dxf>
    <dxf>
      <numFmt numFmtId="164" formatCode="m/d/yyyy"/>
    </dxf>
    <dxf>
      <numFmt numFmtId="0" formatCode="General"/>
    </dxf>
    <dxf>
      <numFmt numFmtId="164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0" formatCode="General"/>
    </dxf>
    <dxf>
      <numFmt numFmtId="0" formatCode="General"/>
    </dxf>
    <dxf>
      <numFmt numFmtId="1" formatCode="0"/>
    </dxf>
    <dxf>
      <numFmt numFmtId="1" formatCode="0"/>
    </dxf>
    <dxf>
      <numFmt numFmtId="164" formatCode="m/d/yyyy"/>
    </dxf>
    <dxf>
      <numFmt numFmtId="1" formatCode="0"/>
    </dxf>
    <dxf>
      <numFmt numFmtId="1" formatCode="0"/>
    </dxf>
    <dxf>
      <numFmt numFmtId="164" formatCode="m/d/yyyy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FF9900"/>
      <color rgb="FF0AA60E"/>
      <color rgb="FF0EA25C"/>
      <color rgb="FF1A965E"/>
      <color rgb="FFCC6600"/>
      <color rgb="FF9E4E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RECETTE MECANIQUE :</a:t>
            </a:r>
          </a:p>
          <a:p>
            <a:pPr>
              <a:defRPr/>
            </a:pPr>
            <a:r>
              <a:rPr lang="fr-FR" baseline="0"/>
              <a:t>Réserves par Objets controlés (PM,BTR)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7136482939632549E-2"/>
          <c:y val="0.17171296296296298"/>
          <c:w val="0.90286351706036749"/>
          <c:h val="0.54380322251385238"/>
        </c:manualLayout>
      </c:layout>
      <c:barChart>
        <c:barDir val="col"/>
        <c:grouping val="clustered"/>
        <c:varyColors val="0"/>
        <c:ser>
          <c:idx val="3"/>
          <c:order val="3"/>
          <c:tx>
            <c:strRef>
              <c:f>Graphique!$A$5</c:f>
              <c:strCache>
                <c:ptCount val="1"/>
                <c:pt idx="0">
                  <c:v>Réserve Mécanique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Graphique!$B$1:$H$1</c:f>
              <c:strCache>
                <c:ptCount val="7"/>
                <c:pt idx="0">
                  <c:v>ASPEN</c:v>
                </c:pt>
                <c:pt idx="1">
                  <c:v>BYON</c:v>
                </c:pt>
                <c:pt idx="2">
                  <c:v>SOGETREL</c:v>
                </c:pt>
                <c:pt idx="3">
                  <c:v>HERRAS</c:v>
                </c:pt>
                <c:pt idx="4">
                  <c:v>POLYKABEL</c:v>
                </c:pt>
                <c:pt idx="5">
                  <c:v>SMT</c:v>
                </c:pt>
                <c:pt idx="6">
                  <c:v>FUZION</c:v>
                </c:pt>
              </c:strCache>
            </c:strRef>
          </c:cat>
          <c:val>
            <c:numRef>
              <c:f>Graphique!$B$5:$H$5</c:f>
              <c:numCache>
                <c:formatCode>0.0</c:formatCode>
                <c:ptCount val="7"/>
                <c:pt idx="0">
                  <c:v>3.3469387755102042</c:v>
                </c:pt>
                <c:pt idx="1">
                  <c:v>1.0392156862745099</c:v>
                </c:pt>
                <c:pt idx="2">
                  <c:v>0</c:v>
                </c:pt>
                <c:pt idx="3">
                  <c:v>3.1686746987951806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C4-4CB4-BB97-C6309A9D5931}"/>
            </c:ext>
          </c:extLst>
        </c:ser>
        <c:ser>
          <c:idx val="4"/>
          <c:order val="4"/>
          <c:tx>
            <c:strRef>
              <c:f>Graphique!$A$6</c:f>
              <c:strCache>
                <c:ptCount val="1"/>
                <c:pt idx="0">
                  <c:v>Réserve Mécanique Critique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Graphique!$B$1:$H$1</c:f>
              <c:strCache>
                <c:ptCount val="7"/>
                <c:pt idx="0">
                  <c:v>ASPEN</c:v>
                </c:pt>
                <c:pt idx="1">
                  <c:v>BYON</c:v>
                </c:pt>
                <c:pt idx="2">
                  <c:v>SOGETREL</c:v>
                </c:pt>
                <c:pt idx="3">
                  <c:v>HERRAS</c:v>
                </c:pt>
                <c:pt idx="4">
                  <c:v>POLYKABEL</c:v>
                </c:pt>
                <c:pt idx="5">
                  <c:v>SMT</c:v>
                </c:pt>
                <c:pt idx="6">
                  <c:v>FUZION</c:v>
                </c:pt>
              </c:strCache>
            </c:strRef>
          </c:cat>
          <c:val>
            <c:numRef>
              <c:f>Graphique!$B$6:$H$6</c:f>
              <c:numCache>
                <c:formatCode>0.0</c:formatCode>
                <c:ptCount val="7"/>
                <c:pt idx="0">
                  <c:v>0.18367346938775511</c:v>
                </c:pt>
                <c:pt idx="1">
                  <c:v>0.13725490196078433</c:v>
                </c:pt>
                <c:pt idx="2">
                  <c:v>0</c:v>
                </c:pt>
                <c:pt idx="3">
                  <c:v>0.43373493975903615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C4-4CB4-BB97-C6309A9D593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7307000"/>
        <c:axId val="577308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Graphique!$A$2</c15:sqref>
                        </c15:formulaRef>
                      </c:ext>
                    </c:extLst>
                    <c:strCache>
                      <c:ptCount val="1"/>
                      <c:pt idx="0">
                        <c:v>Reprise Optique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Graphique!$B$1:$H$1</c15:sqref>
                        </c15:formulaRef>
                      </c:ext>
                    </c:extLst>
                    <c:strCache>
                      <c:ptCount val="7"/>
                      <c:pt idx="0">
                        <c:v>ASPEN</c:v>
                      </c:pt>
                      <c:pt idx="1">
                        <c:v>BYON</c:v>
                      </c:pt>
                      <c:pt idx="2">
                        <c:v>SOGETREL</c:v>
                      </c:pt>
                      <c:pt idx="3">
                        <c:v>HERRAS</c:v>
                      </c:pt>
                      <c:pt idx="4">
                        <c:v>POLYKABEL</c:v>
                      </c:pt>
                      <c:pt idx="5">
                        <c:v>SMT</c:v>
                      </c:pt>
                      <c:pt idx="6">
                        <c:v>FUZION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Graphique!$B$2:$H$2</c15:sqref>
                        </c15:formulaRef>
                      </c:ext>
                    </c:extLst>
                    <c:numCache>
                      <c:formatCode>0</c:formatCode>
                      <c:ptCount val="7"/>
                      <c:pt idx="0">
                        <c:v>40.071428571428569</c:v>
                      </c:pt>
                      <c:pt idx="1">
                        <c:v>41.12</c:v>
                      </c:pt>
                      <c:pt idx="2">
                        <c:v>6.04</c:v>
                      </c:pt>
                      <c:pt idx="3">
                        <c:v>29.681818181818183</c:v>
                      </c:pt>
                      <c:pt idx="4">
                        <c:v>27.746031746031747</c:v>
                      </c:pt>
                      <c:pt idx="5">
                        <c:v>40.147058823529413</c:v>
                      </c:pt>
                      <c:pt idx="6" formatCode="0.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4C4-4CB4-BB97-C6309A9D593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Graphique!$A$3</c15:sqref>
                        </c15:formulaRef>
                      </c:ext>
                    </c:extLst>
                    <c:strCache>
                      <c:ptCount val="1"/>
                      <c:pt idx="0">
                        <c:v>Reprise Optique Critique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Graphique!$B$1:$H$1</c15:sqref>
                        </c15:formulaRef>
                      </c:ext>
                    </c:extLst>
                    <c:strCache>
                      <c:ptCount val="7"/>
                      <c:pt idx="0">
                        <c:v>ASPEN</c:v>
                      </c:pt>
                      <c:pt idx="1">
                        <c:v>BYON</c:v>
                      </c:pt>
                      <c:pt idx="2">
                        <c:v>SOGETREL</c:v>
                      </c:pt>
                      <c:pt idx="3">
                        <c:v>HERRAS</c:v>
                      </c:pt>
                      <c:pt idx="4">
                        <c:v>POLYKABEL</c:v>
                      </c:pt>
                      <c:pt idx="5">
                        <c:v>SMT</c:v>
                      </c:pt>
                      <c:pt idx="6">
                        <c:v>FUZION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Graphique!$B$3:$H$3</c15:sqref>
                        </c15:formulaRef>
                      </c:ext>
                    </c:extLst>
                    <c:numCache>
                      <c:formatCode>0.0</c:formatCode>
                      <c:ptCount val="7"/>
                      <c:pt idx="0">
                        <c:v>1.75</c:v>
                      </c:pt>
                      <c:pt idx="1">
                        <c:v>1.08</c:v>
                      </c:pt>
                      <c:pt idx="2">
                        <c:v>5.8823529411764705E-2</c:v>
                      </c:pt>
                      <c:pt idx="3">
                        <c:v>0.81818181818181823</c:v>
                      </c:pt>
                      <c:pt idx="4">
                        <c:v>0.5714285714285714</c:v>
                      </c:pt>
                      <c:pt idx="5">
                        <c:v>0.73529411764705888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4C4-4CB4-BB97-C6309A9D593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Graphique!$A$4</c15:sqref>
                        </c15:formulaRef>
                      </c:ext>
                    </c:extLst>
                    <c:strCache>
                      <c:ptCount val="1"/>
                      <c:pt idx="0">
                        <c:v>TC NOK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Graphique!$B$1:$H$1</c15:sqref>
                        </c15:formulaRef>
                      </c:ext>
                    </c:extLst>
                    <c:strCache>
                      <c:ptCount val="7"/>
                      <c:pt idx="0">
                        <c:v>ASPEN</c:v>
                      </c:pt>
                      <c:pt idx="1">
                        <c:v>BYON</c:v>
                      </c:pt>
                      <c:pt idx="2">
                        <c:v>SOGETREL</c:v>
                      </c:pt>
                      <c:pt idx="3">
                        <c:v>HERRAS</c:v>
                      </c:pt>
                      <c:pt idx="4">
                        <c:v>POLYKABEL</c:v>
                      </c:pt>
                      <c:pt idx="5">
                        <c:v>SMT</c:v>
                      </c:pt>
                      <c:pt idx="6">
                        <c:v>FUZION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Graphique!$B$4:$H$4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3.5714285714285712E-2</c:v>
                      </c:pt>
                      <c:pt idx="1">
                        <c:v>0.6</c:v>
                      </c:pt>
                      <c:pt idx="2">
                        <c:v>0.35294117647058826</c:v>
                      </c:pt>
                      <c:pt idx="3">
                        <c:v>0.56818181818181823</c:v>
                      </c:pt>
                      <c:pt idx="4">
                        <c:v>0.82539682539682535</c:v>
                      </c:pt>
                      <c:pt idx="5">
                        <c:v>1.0294117647058822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4C4-4CB4-BB97-C6309A9D5931}"/>
                  </c:ext>
                </c:extLst>
              </c15:ser>
            </c15:filteredBarSeries>
          </c:ext>
        </c:extLst>
      </c:barChart>
      <c:catAx>
        <c:axId val="577307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7308312"/>
        <c:crosses val="autoZero"/>
        <c:auto val="1"/>
        <c:lblAlgn val="ctr"/>
        <c:lblOffset val="100"/>
        <c:noMultiLvlLbl val="0"/>
      </c:catAx>
      <c:valAx>
        <c:axId val="577308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7307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Tronçons Transport</a:t>
            </a:r>
            <a:r>
              <a:rPr lang="fr-FR" baseline="0"/>
              <a:t> mesurés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Graphique!$A$38</c:f>
              <c:strCache>
                <c:ptCount val="1"/>
                <c:pt idx="0">
                  <c:v>Transport mesuré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Graphique!$B$37:$H$37</c:f>
              <c:strCache>
                <c:ptCount val="7"/>
                <c:pt idx="0">
                  <c:v>ASPEN</c:v>
                </c:pt>
                <c:pt idx="1">
                  <c:v>BYON</c:v>
                </c:pt>
                <c:pt idx="2">
                  <c:v>SOGETREL</c:v>
                </c:pt>
                <c:pt idx="3">
                  <c:v>HERRAS</c:v>
                </c:pt>
                <c:pt idx="4">
                  <c:v>POLYKABEL</c:v>
                </c:pt>
                <c:pt idx="5">
                  <c:v>SMT</c:v>
                </c:pt>
                <c:pt idx="6">
                  <c:v>FUZION</c:v>
                </c:pt>
              </c:strCache>
            </c:strRef>
          </c:cat>
          <c:val>
            <c:numRef>
              <c:f>Graphique!$B$38:$H$38</c:f>
              <c:numCache>
                <c:formatCode>General</c:formatCode>
                <c:ptCount val="7"/>
                <c:pt idx="0">
                  <c:v>28</c:v>
                </c:pt>
                <c:pt idx="1">
                  <c:v>25</c:v>
                </c:pt>
                <c:pt idx="2">
                  <c:v>17</c:v>
                </c:pt>
                <c:pt idx="3">
                  <c:v>50</c:v>
                </c:pt>
                <c:pt idx="4">
                  <c:v>64</c:v>
                </c:pt>
                <c:pt idx="5">
                  <c:v>38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CE-42DC-993E-ACC9858470C5}"/>
            </c:ext>
          </c:extLst>
        </c:ser>
        <c:ser>
          <c:idx val="1"/>
          <c:order val="1"/>
          <c:tx>
            <c:strRef>
              <c:f>Graphique!$A$39</c:f>
              <c:strCache>
                <c:ptCount val="1"/>
                <c:pt idx="0">
                  <c:v>Stock mesure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Graphique!$B$37:$H$37</c:f>
              <c:strCache>
                <c:ptCount val="7"/>
                <c:pt idx="0">
                  <c:v>ASPEN</c:v>
                </c:pt>
                <c:pt idx="1">
                  <c:v>BYON</c:v>
                </c:pt>
                <c:pt idx="2">
                  <c:v>SOGETREL</c:v>
                </c:pt>
                <c:pt idx="3">
                  <c:v>HERRAS</c:v>
                </c:pt>
                <c:pt idx="4">
                  <c:v>POLYKABEL</c:v>
                </c:pt>
                <c:pt idx="5">
                  <c:v>SMT</c:v>
                </c:pt>
                <c:pt idx="6">
                  <c:v>FUZION</c:v>
                </c:pt>
              </c:strCache>
            </c:strRef>
          </c:cat>
          <c:val>
            <c:numRef>
              <c:f>Graphique!$B$39:$H$39</c:f>
              <c:numCache>
                <c:formatCode>General</c:formatCode>
                <c:ptCount val="7"/>
                <c:pt idx="0">
                  <c:v>0</c:v>
                </c:pt>
                <c:pt idx="1">
                  <c:v>14</c:v>
                </c:pt>
                <c:pt idx="2">
                  <c:v>0</c:v>
                </c:pt>
                <c:pt idx="3">
                  <c:v>23</c:v>
                </c:pt>
                <c:pt idx="4">
                  <c:v>11</c:v>
                </c:pt>
                <c:pt idx="5">
                  <c:v>41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CE-42DC-993E-ACC9858470C5}"/>
            </c:ext>
          </c:extLst>
        </c:ser>
        <c:ser>
          <c:idx val="2"/>
          <c:order val="2"/>
          <c:tx>
            <c:strRef>
              <c:f>Graphique!$A$40</c:f>
              <c:strCache>
                <c:ptCount val="1"/>
                <c:pt idx="0">
                  <c:v>Optique Validé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Graphique!$B$37:$H$37</c:f>
              <c:strCache>
                <c:ptCount val="7"/>
                <c:pt idx="0">
                  <c:v>ASPEN</c:v>
                </c:pt>
                <c:pt idx="1">
                  <c:v>BYON</c:v>
                </c:pt>
                <c:pt idx="2">
                  <c:v>SOGETREL</c:v>
                </c:pt>
                <c:pt idx="3">
                  <c:v>HERRAS</c:v>
                </c:pt>
                <c:pt idx="4">
                  <c:v>POLYKABEL</c:v>
                </c:pt>
                <c:pt idx="5">
                  <c:v>SMT</c:v>
                </c:pt>
                <c:pt idx="6">
                  <c:v>FUZION</c:v>
                </c:pt>
              </c:strCache>
            </c:strRef>
          </c:cat>
          <c:val>
            <c:numRef>
              <c:f>Graphique!$B$40:$H$40</c:f>
              <c:numCache>
                <c:formatCode>General</c:formatCode>
                <c:ptCount val="7"/>
                <c:pt idx="0">
                  <c:v>19</c:v>
                </c:pt>
                <c:pt idx="1">
                  <c:v>15</c:v>
                </c:pt>
                <c:pt idx="2">
                  <c:v>2</c:v>
                </c:pt>
                <c:pt idx="3">
                  <c:v>1</c:v>
                </c:pt>
                <c:pt idx="4">
                  <c:v>4</c:v>
                </c:pt>
                <c:pt idx="5">
                  <c:v>12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CE-42DC-993E-ACC9858470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1062488"/>
        <c:axId val="631064784"/>
      </c:barChart>
      <c:catAx>
        <c:axId val="631062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064784"/>
        <c:crosses val="autoZero"/>
        <c:auto val="1"/>
        <c:lblAlgn val="ctr"/>
        <c:lblOffset val="100"/>
        <c:noMultiLvlLbl val="0"/>
      </c:catAx>
      <c:valAx>
        <c:axId val="631064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062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Recette</a:t>
            </a:r>
            <a:r>
              <a:rPr lang="fr-FR" baseline="0"/>
              <a:t> optique :</a:t>
            </a:r>
          </a:p>
          <a:p>
            <a:pPr>
              <a:defRPr/>
            </a:pPr>
            <a:r>
              <a:rPr lang="fr-FR" baseline="0"/>
              <a:t>Réserves par tronçon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899759405074366E-2"/>
          <c:y val="0.11615740740740743"/>
          <c:w val="0.89655796150481193"/>
          <c:h val="0.614984324876057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Graphique!$A$2</c:f>
              <c:strCache>
                <c:ptCount val="1"/>
                <c:pt idx="0">
                  <c:v>Reprise Optique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Graphique!$B$1:$H$1</c:f>
              <c:strCache>
                <c:ptCount val="7"/>
                <c:pt idx="0">
                  <c:v>ASPEN</c:v>
                </c:pt>
                <c:pt idx="1">
                  <c:v>BYON</c:v>
                </c:pt>
                <c:pt idx="2">
                  <c:v>SOGETREL</c:v>
                </c:pt>
                <c:pt idx="3">
                  <c:v>HERRAS</c:v>
                </c:pt>
                <c:pt idx="4">
                  <c:v>POLYKABEL</c:v>
                </c:pt>
                <c:pt idx="5">
                  <c:v>SMT</c:v>
                </c:pt>
                <c:pt idx="6">
                  <c:v>FUZION</c:v>
                </c:pt>
              </c:strCache>
            </c:strRef>
          </c:cat>
          <c:val>
            <c:numRef>
              <c:f>Graphique!$B$2:$H$2</c:f>
              <c:numCache>
                <c:formatCode>0</c:formatCode>
                <c:ptCount val="7"/>
                <c:pt idx="0">
                  <c:v>40.071428571428569</c:v>
                </c:pt>
                <c:pt idx="1">
                  <c:v>41.12</c:v>
                </c:pt>
                <c:pt idx="2">
                  <c:v>6.04</c:v>
                </c:pt>
                <c:pt idx="3">
                  <c:v>29.681818181818183</c:v>
                </c:pt>
                <c:pt idx="4">
                  <c:v>27.746031746031747</c:v>
                </c:pt>
                <c:pt idx="5">
                  <c:v>40.147058823529413</c:v>
                </c:pt>
                <c:pt idx="6" formatCode="0.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99-4F6E-ACEC-37B7AA9C441D}"/>
            </c:ext>
          </c:extLst>
        </c:ser>
        <c:ser>
          <c:idx val="1"/>
          <c:order val="1"/>
          <c:tx>
            <c:strRef>
              <c:f>Graphique!$A$3</c:f>
              <c:strCache>
                <c:ptCount val="1"/>
                <c:pt idx="0">
                  <c:v>Reprise Optique Critique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Graphique!$B$1:$H$1</c:f>
              <c:strCache>
                <c:ptCount val="7"/>
                <c:pt idx="0">
                  <c:v>ASPEN</c:v>
                </c:pt>
                <c:pt idx="1">
                  <c:v>BYON</c:v>
                </c:pt>
                <c:pt idx="2">
                  <c:v>SOGETREL</c:v>
                </c:pt>
                <c:pt idx="3">
                  <c:v>HERRAS</c:v>
                </c:pt>
                <c:pt idx="4">
                  <c:v>POLYKABEL</c:v>
                </c:pt>
                <c:pt idx="5">
                  <c:v>SMT</c:v>
                </c:pt>
                <c:pt idx="6">
                  <c:v>FUZION</c:v>
                </c:pt>
              </c:strCache>
            </c:strRef>
          </c:cat>
          <c:val>
            <c:numRef>
              <c:f>Graphique!$B$3:$H$3</c:f>
              <c:numCache>
                <c:formatCode>0.0</c:formatCode>
                <c:ptCount val="7"/>
                <c:pt idx="0">
                  <c:v>1.75</c:v>
                </c:pt>
                <c:pt idx="1">
                  <c:v>1.08</c:v>
                </c:pt>
                <c:pt idx="2">
                  <c:v>5.8823529411764705E-2</c:v>
                </c:pt>
                <c:pt idx="3">
                  <c:v>0.81818181818181823</c:v>
                </c:pt>
                <c:pt idx="4">
                  <c:v>0.5714285714285714</c:v>
                </c:pt>
                <c:pt idx="5">
                  <c:v>0.73529411764705888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99-4F6E-ACEC-37B7AA9C441D}"/>
            </c:ext>
          </c:extLst>
        </c:ser>
        <c:ser>
          <c:idx val="2"/>
          <c:order val="2"/>
          <c:tx>
            <c:strRef>
              <c:f>Graphique!$A$4</c:f>
              <c:strCache>
                <c:ptCount val="1"/>
                <c:pt idx="0">
                  <c:v>TC NOK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Graphique!$B$1:$H$1</c:f>
              <c:strCache>
                <c:ptCount val="7"/>
                <c:pt idx="0">
                  <c:v>ASPEN</c:v>
                </c:pt>
                <c:pt idx="1">
                  <c:v>BYON</c:v>
                </c:pt>
                <c:pt idx="2">
                  <c:v>SOGETREL</c:v>
                </c:pt>
                <c:pt idx="3">
                  <c:v>HERRAS</c:v>
                </c:pt>
                <c:pt idx="4">
                  <c:v>POLYKABEL</c:v>
                </c:pt>
                <c:pt idx="5">
                  <c:v>SMT</c:v>
                </c:pt>
                <c:pt idx="6">
                  <c:v>FUZION</c:v>
                </c:pt>
              </c:strCache>
            </c:strRef>
          </c:cat>
          <c:val>
            <c:numRef>
              <c:f>Graphique!$B$4:$H$4</c:f>
              <c:numCache>
                <c:formatCode>0.00</c:formatCode>
                <c:ptCount val="7"/>
                <c:pt idx="0">
                  <c:v>3.5714285714285712E-2</c:v>
                </c:pt>
                <c:pt idx="1">
                  <c:v>0.6</c:v>
                </c:pt>
                <c:pt idx="2">
                  <c:v>0.35294117647058826</c:v>
                </c:pt>
                <c:pt idx="3">
                  <c:v>0.56818181818181823</c:v>
                </c:pt>
                <c:pt idx="4">
                  <c:v>0.82539682539682535</c:v>
                </c:pt>
                <c:pt idx="5">
                  <c:v>1.0294117647058822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99-4F6E-ACEC-37B7AA9C44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56460720"/>
        <c:axId val="756462360"/>
      </c:barChart>
      <c:catAx>
        <c:axId val="756460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6462360"/>
        <c:crosses val="autoZero"/>
        <c:auto val="1"/>
        <c:lblAlgn val="ctr"/>
        <c:lblOffset val="100"/>
        <c:noMultiLvlLbl val="0"/>
      </c:catAx>
      <c:valAx>
        <c:axId val="756462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64607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5886072493365647E-4"/>
          <c:y val="0.27083293805141828"/>
          <c:w val="0.13816531428717041"/>
          <c:h val="0.471469605455944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769620</xdr:colOff>
      <xdr:row>6</xdr:row>
      <xdr:rowOff>152400</xdr:rowOff>
    </xdr:from>
    <xdr:to>
      <xdr:col>16</xdr:col>
      <xdr:colOff>739140</xdr:colOff>
      <xdr:row>32</xdr:row>
      <xdr:rowOff>167640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830580</xdr:colOff>
      <xdr:row>41</xdr:row>
      <xdr:rowOff>7620</xdr:rowOff>
    </xdr:from>
    <xdr:to>
      <xdr:col>7</xdr:col>
      <xdr:colOff>358140</xdr:colOff>
      <xdr:row>59</xdr:row>
      <xdr:rowOff>22860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1036320</xdr:colOff>
      <xdr:row>6</xdr:row>
      <xdr:rowOff>121920</xdr:rowOff>
    </xdr:from>
    <xdr:to>
      <xdr:col>8</xdr:col>
      <xdr:colOff>502920</xdr:colOff>
      <xdr:row>32</xdr:row>
      <xdr:rowOff>144780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579120</xdr:colOff>
          <xdr:row>0</xdr:row>
          <xdr:rowOff>312420</xdr:rowOff>
        </xdr:from>
        <xdr:to>
          <xdr:col>12</xdr:col>
          <xdr:colOff>1264920</xdr:colOff>
          <xdr:row>3</xdr:row>
          <xdr:rowOff>152400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5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634F4C-B4E3-4AE6-B38F-8BD9995081C0}" name="RecetteTransport2" displayName="RecetteTransport2" ref="A1:AF398" totalsRowCount="1">
  <autoFilter ref="A1:AF397" xr:uid="{9801196C-FEA4-421C-8105-30C167E98617}">
    <filterColumn colId="7">
      <filters blank="1"/>
    </filterColumn>
  </autoFilter>
  <sortState xmlns:xlrd2="http://schemas.microsoft.com/office/spreadsheetml/2017/richdata2" ref="A2:AF392">
    <sortCondition ref="D1:D392"/>
  </sortState>
  <tableColumns count="32">
    <tableColumn id="1" xr3:uid="{1B015083-4B28-4052-BE21-0F70760EC19B}" name="Activité" totalsRowLabel="Total fait"/>
    <tableColumn id="2" xr3:uid="{E1CBF77A-CA65-41CD-835F-B05DAEF2788E}" name="Entreprise"/>
    <tableColumn id="3" xr3:uid="{6E00FE6F-7AF5-42F0-8F96-711B174B54CD}" name="NRO"/>
    <tableColumn id="4" xr3:uid="{773412FE-82D2-4AFD-AD20-DEB621ED0A26}" name="PM" totalsRowFunction="custom">
      <totalsRowFormula>COUNTA(RecetteTransport2[PM])</totalsRowFormula>
    </tableColumn>
    <tableColumn id="17" xr3:uid="{6330B98B-A778-41AA-BC92-22E8EC1E9FE6}" name="CODE IG"/>
    <tableColumn id="25" xr3:uid="{651D3DE2-C042-4125-AB8A-BF70D11E4DDC}" name="DOE REC" totalsRowFunction="custom">
      <totalsRowFormula>COUNTA(RecetteTransport2[DOE REC])</totalsRowFormula>
    </tableColumn>
    <tableColumn id="19" xr3:uid="{FF3A46CE-CBBC-4933-BA2C-61DF01104AE9}" name="Méca" totalsRowFunction="custom" dataDxfId="35">
      <totalsRowFormula>COUNTA(RecetteTransport2[Méca])</totalsRowFormula>
    </tableColumn>
    <tableColumn id="20" xr3:uid="{0AFA7E01-A4E6-40EB-B718-35AD2AFEBD19}" name="Mesure" totalsRowFunction="custom" dataDxfId="34">
      <totalsRowFormula>COUNTA(RecetteTransport2[Mesure])</totalsRowFormula>
    </tableColumn>
    <tableColumn id="22" xr3:uid="{8E4B58E0-9491-4F9A-A25F-F73A144B6EFD}" name="DossierMesure" totalsRowFunction="custom" dataDxfId="33">
      <totalsRowFormula>COUNTA(RecetteTransport2[DossierMesure])</totalsRowFormula>
    </tableColumn>
    <tableColumn id="6" xr3:uid="{ED548F30-DC03-404A-A0CF-94D89017CB09}" name="NOK" dataDxfId="32">
      <calculatedColumnFormula>RecetteTransport2[[#All],[Fibres TC NOK]]</calculatedColumnFormula>
    </tableColumn>
    <tableColumn id="23" xr3:uid="{DB47FE05-9A7E-4F99-885A-1AB55CE78EBB}" name="Critique" dataDxfId="31" totalsRowDxfId="12">
      <calculatedColumnFormula>RecetteTransport2[[#All],[Valeur Critique]]</calculatedColumnFormula>
    </tableColumn>
    <tableColumn id="7" xr3:uid="{FF3B1DCF-93B1-4681-BABA-BDFAD7E0F31C}" name="Opti" dataDxfId="30" totalsRowDxfId="11">
      <calculatedColumnFormula>#REF!</calculatedColumnFormula>
    </tableColumn>
    <tableColumn id="24" xr3:uid="{84518C58-38E1-4F20-B6DA-E02F8ADD5F0C}" name="RepriseMéca" dataDxfId="29" totalsRowDxfId="10"/>
    <tableColumn id="9" xr3:uid="{92C11F47-9E91-412C-AD69-D4E3DCD8658D}" name="Etat Réflecto"/>
    <tableColumn id="10" xr3:uid="{45973F79-F8F3-429C-A5AF-AE1BBDDFAAF6}" name="Date validation Optique"/>
    <tableColumn id="12" xr3:uid="{40BCD9C9-F743-4F76-9CB0-951B4D4199E6}" name="Semaine" dataDxfId="28">
      <calculatedColumnFormula xml:space="preserve"> _xlfn.ISOWEEKNUM(RecetteTransport2[[#This Row],[Date validation Optique]])</calculatedColumnFormula>
    </tableColumn>
    <tableColumn id="11" xr3:uid="{7F7AF27B-1DE6-4B4B-B423-DBD2FD7714E1}" name="Année" dataDxfId="27">
      <calculatedColumnFormula>YEAR(RecetteTransport2[[#This Row],[Date validation Optique]])</calculatedColumnFormula>
    </tableColumn>
    <tableColumn id="27" xr3:uid="{06D3C702-E0F3-43A2-A6FD-5748798A170B}" name="Etat Mécanique"/>
    <tableColumn id="15" xr3:uid="{BFF75219-27DF-485A-BB00-846D36EC782E}" name="Date Achevement  Mécanique" dataDxfId="26" totalsRowDxfId="9">
      <calculatedColumnFormula>#REF!+10</calculatedColumnFormula>
    </tableColumn>
    <tableColumn id="70" xr3:uid="{BE1E92E7-0A43-4A7F-A9F2-8B1015E0A78F}" name="N°semaine Achevement Mecanique" dataDxfId="25" totalsRowDxfId="8">
      <calculatedColumnFormula>_xlfn.ISOWEEKNUM(RecetteTransport2[[#This Row],[Date Achevement  Mécanique]])</calculatedColumnFormula>
    </tableColumn>
    <tableColumn id="71" xr3:uid="{B2110C53-F879-44E1-8746-6668C56F46B1}" name="Année Achevement Mecanique" dataDxfId="24" totalsRowDxfId="7">
      <calculatedColumnFormula>YEAR(RecetteTransport2[[#This Row],[Date Achevement  Mécanique]])</calculatedColumnFormula>
    </tableColumn>
    <tableColumn id="16" xr3:uid="{B6A3AB73-5EA5-4A30-83AF-AD8736D2588F}" name="Date de mesure" dataDxfId="23"/>
    <tableColumn id="68" xr3:uid="{F018723C-01F1-4E9A-95DC-CB3FC62F3B53}" name="N° semaine Date de Mesure" dataDxfId="22" totalsRowDxfId="6">
      <calculatedColumnFormula>_xlfn.ISOWEEKNUM(RecetteTransport2[[#This Row],[Date de mesure]])</calculatedColumnFormula>
    </tableColumn>
    <tableColumn id="69" xr3:uid="{3EC927E0-67BD-446E-B9E5-4243001B9F20}" name="Année mesure" dataDxfId="21" totalsRowDxfId="5">
      <calculatedColumnFormula>YEAR(RecetteTransport2[[#This Row],[Date de mesure]])</calculatedColumnFormula>
    </tableColumn>
    <tableColumn id="18" xr3:uid="{77AE98D8-810C-48B7-A007-5CBE8ED32543}" name="Date envoie dossier mesure" dataDxfId="20" totalsRowDxfId="4"/>
    <tableColumn id="32" xr3:uid="{E8388B79-E61A-403A-BA0D-553000635D0D}" name="N° Semaine Dossier mesure" dataDxfId="19">
      <calculatedColumnFormula>_xlfn.ISOWEEKNUM(RecetteTransport2[[#This Row],[Date envoie dossier mesure]])</calculatedColumnFormula>
    </tableColumn>
    <tableColumn id="33" xr3:uid="{8BEF32BF-92CD-40D3-BC38-83843B991B6C}" name="Année dossier mesure" dataDxfId="18">
      <calculatedColumnFormula>YEAR(RecetteTransport2[[#This Row],[Date envoie dossier mesure]])</calculatedColumnFormula>
    </tableColumn>
    <tableColumn id="8" xr3:uid="{610C123F-C5E9-4699-8325-AA097B827F19}" name="Fibres TC NOK" dataDxfId="17" totalsRowDxfId="3"/>
    <tableColumn id="5" xr3:uid="{888D4E4F-1221-4466-AB4E-58A6FDDB2B2A}" name="Valeur Critique" dataDxfId="16" totalsRowDxfId="2"/>
    <tableColumn id="59" xr3:uid="{F2296F01-8B23-42DD-BDFE-298448525052}" name="Nb de reprises Optiques" dataDxfId="15" totalsRowDxfId="1"/>
    <tableColumn id="60" xr3:uid="{AEBDADA7-728A-4F39-B537-FE6C737BE26F}" name="Nb de reprises Optique / CR" dataDxfId="14">
      <calculatedColumnFormula>RecetteTransport2[[#All],[Nb de reprises Optiques]]/#REF!</calculatedColumnFormula>
    </tableColumn>
    <tableColumn id="26" xr3:uid="{CDBB89E8-10B9-4923-877E-9A8F48A43767}" name="Date 1ere Relance Dossier Optique" dataDxfId="13" totalsRowDxfId="0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65E5D7D-20A2-45F9-88AC-B7ACAC716224}" name="Tableau7" displayName="Tableau7" ref="A1:P15" totalsRowShown="0" headerRowDxfId="123">
  <autoFilter ref="A1:P15" xr:uid="{CC853303-CD89-4755-9B27-4327CB5053CC}"/>
  <tableColumns count="16">
    <tableColumn id="1" xr3:uid="{6321EA30-98E8-4198-AFD0-B6040025E71B}" name="MOE"/>
    <tableColumn id="2" xr3:uid="{E3FD23DD-1008-4E4C-B322-806C17E7A96E}" name="NRO"/>
    <tableColumn id="3" xr3:uid="{F900E5D1-045A-4D69-9BAF-361F8B97258C}" name="Statut"/>
    <tableColumn id="4" xr3:uid="{073EE055-2460-47D0-92D2-BF708A172C65}" name="Date de recette" dataDxfId="122"/>
    <tableColumn id="5" xr3:uid="{2DA45A05-273C-45C8-9E87-C403A01D3334}" name="Semaine" dataDxfId="121">
      <calculatedColumnFormula>_xlfn.ISOWEEKNUM(Tableau7[[#This Row],[Date de recette]])</calculatedColumnFormula>
    </tableColumn>
    <tableColumn id="6" xr3:uid="{5C59B354-35EF-47E9-BCC8-466203EC06AA}" name="Année" dataDxfId="120">
      <calculatedColumnFormula>YEAR(D2)</calculatedColumnFormula>
    </tableColumn>
    <tableColumn id="7" xr3:uid="{855A1F60-5E60-443F-B728-1B33D7CC317C}" name="Date d'envoie du dossier" dataDxfId="119"/>
    <tableColumn id="14" xr3:uid="{D5CF8293-A96F-4876-8507-224FA49317E8}" name="Colonne2" dataDxfId="118">
      <calculatedColumnFormula>_xlfn.ISOWEEKNUM(Tableau7[[#This Row],[Date d''envoie du dossier]])</calculatedColumnFormula>
    </tableColumn>
    <tableColumn id="8" xr3:uid="{2D62C421-0D9F-46ED-8DF1-7F4669E83A92}" name="Colonne1" dataDxfId="117">
      <calculatedColumnFormula>YEAR(Tableau7[[#This Row],[Date d''envoie du dossier]])</calculatedColumnFormula>
    </tableColumn>
    <tableColumn id="9" xr3:uid="{B8E2C8FF-5185-4A81-85DF-33B8F3554ADB}" name="Nombre objets contrôlés"/>
    <tableColumn id="10" xr3:uid="{2D2CB614-8784-4C02-9395-AED286D66FB8}" name="Nb Non conforme  initiale"/>
    <tableColumn id="11" xr3:uid="{9FC9C166-8301-42EC-81A0-27C4CAEB959F}" name="Ratio NnConformité:objets" dataDxfId="116">
      <calculatedColumnFormula>Tableau7[[#This Row],[Nb Non conforme  initiale]]/Tableau7[[#This Row],[Nombre objets contrôlés]]</calculatedColumnFormula>
    </tableColumn>
    <tableColumn id="15" xr3:uid="{35CC5A1A-AF1B-4183-97D2-165355E11167}" name="Nb Critique"/>
    <tableColumn id="16" xr3:uid="{E776A1A2-67B6-41A8-A810-E5E7A75D1A36}" name="Ratio Critique:Objet" dataDxfId="115">
      <calculatedColumnFormula>M:M/J:J</calculatedColumnFormula>
    </tableColumn>
    <tableColumn id="12" xr3:uid="{A4C0D96E-6ED9-44F6-B503-041A1F3D0274}" name="Nb Reprises restantes"/>
    <tableColumn id="13" xr3:uid="{893062FB-9261-49DD-815C-BAE9E35A8723}" name="Date de validation repris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4356DF0-0729-425F-8599-4DDCD3198F23}" name="Tableau3" displayName="Tableau3" ref="A37:H40" totalsRowShown="0">
  <autoFilter ref="A37:H40" xr:uid="{06B1B9CA-1CB5-44FF-BE3B-A6703D5C7F42}"/>
  <tableColumns count="8">
    <tableColumn id="1" xr3:uid="{78C61F3E-3DC9-4138-AD04-9C37448DDDFA}" name="MOE"/>
    <tableColumn id="2" xr3:uid="{CA9EA556-37B8-4D94-AEEE-15885E61D2AD}" name="ASPEN"/>
    <tableColumn id="3" xr3:uid="{5A151561-337C-49BC-A559-2703FC6FC9A6}" name="BYON"/>
    <tableColumn id="4" xr3:uid="{B5E42450-D3DA-4AD4-A47D-1F84E3FA8349}" name="SOGETREL"/>
    <tableColumn id="5" xr3:uid="{CC545E68-1125-4AD0-A71D-8B618B6C7D7A}" name="HERRAS"/>
    <tableColumn id="6" xr3:uid="{70A19825-804A-481F-A98F-DB7C6CAA89C8}" name="POLYKABEL"/>
    <tableColumn id="7" xr3:uid="{F3BEC18A-FC9D-4383-A286-22F9D48D2C30}" name="SMT"/>
    <tableColumn id="8" xr3:uid="{78761E57-0A3F-46A6-AC4F-350138AA5761}" name="FUZ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A3A08E3-C0C7-42C7-AFD9-441402E5B13B}" name="Tableau6" displayName="Tableau6" ref="A1:H6" totalsRowShown="0" dataDxfId="114">
  <autoFilter ref="A1:H6" xr:uid="{28F01A53-AEAF-4C82-B63C-CE64AFC08215}"/>
  <tableColumns count="8">
    <tableColumn id="1" xr3:uid="{369C2933-415E-4AD6-807B-1E7CDA9C2A5B}" name="Colonne1" dataDxfId="113"/>
    <tableColumn id="2" xr3:uid="{53AAD440-015E-4E56-8242-7F781EF65625}" name="ASPEN" dataDxfId="112"/>
    <tableColumn id="3" xr3:uid="{7458FC51-AFF1-43AE-AB08-F8C1AE861438}" name="BYON" dataDxfId="111"/>
    <tableColumn id="4" xr3:uid="{ABF91179-EA0A-43DD-8D33-4F430A685F32}" name="SOGETREL" dataDxfId="110"/>
    <tableColumn id="5" xr3:uid="{0A908C5B-91E3-4D25-A44C-2C1287E91349}" name="HERRAS" dataDxfId="109"/>
    <tableColumn id="6" xr3:uid="{2B2400EE-1F6B-49EC-B1F1-2695CBE3A093}" name="POLYKABEL" dataDxfId="108"/>
    <tableColumn id="7" xr3:uid="{D6722741-C03B-40EE-AE49-8D924EC11CAD}" name="SMT" dataDxfId="107"/>
    <tableColumn id="8" xr3:uid="{6B904230-200E-4DB5-9BB8-3663AFF65B86}" name="FUZION" dataDxfId="10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4FF3EB4-E252-4C6D-9A71-1C66F456191D}" name="Tableau8" displayName="Tableau8" ref="A63:H65" totalsRowShown="0">
  <autoFilter ref="A63:H65" xr:uid="{F6F6A692-CF1A-42BB-A87C-232B896A31B2}"/>
  <tableColumns count="8">
    <tableColumn id="1" xr3:uid="{C99C508F-A8F9-43BF-8127-7E618AC5AA01}" name="MOE"/>
    <tableColumn id="2" xr3:uid="{0AC2789D-1D25-42DF-A0C6-AEDA1930F6D2}" name="ASPEN">
      <calculatedColumnFormula>COUNTIFS(RecetteTransport2[Entreprise],"ASPEN",RecetteTransport2[Etat Réflecto],"Validé",RecetteTransport2[Etat Mécanique],"Validé")</calculatedColumnFormula>
    </tableColumn>
    <tableColumn id="3" xr3:uid="{4CB5CB04-393C-48D5-A5CA-5E9A96BC94DF}" name="BYON">
      <calculatedColumnFormula>COUNTIFS(RecetteTransport2[Entreprise],"BYON",RecetteTransport2[Etat Réflecto],"Validé",RecetteTransport2[Etat Mécanique],"Validé")</calculatedColumnFormula>
    </tableColumn>
    <tableColumn id="4" xr3:uid="{4CE0D331-EFF1-49D5-B78B-7922ED1CE694}" name="SOGETREL">
      <calculatedColumnFormula>COUNTIFS(RecetteTransport2[Entreprise],"SOGETREL",RecetteTransport2[Etat Réflecto],"Validé",RecetteTransport2[Etat Mécanique],"Validé")</calculatedColumnFormula>
    </tableColumn>
    <tableColumn id="5" xr3:uid="{ABCB533B-5FF1-46DF-8F36-43BF689DC841}" name="HERRAS">
      <calculatedColumnFormula>COUNTIFS(RecetteTransport2[Entreprise],"HERRAS",RecetteTransport2[Etat Réflecto],"Validé",RecetteTransport2[Etat Mécanique],"Validé")</calculatedColumnFormula>
    </tableColumn>
    <tableColumn id="6" xr3:uid="{00A9FA4A-60AB-4F86-9F39-D3B084C5DCB1}" name="POLYKABEL">
      <calculatedColumnFormula>COUNTIFS(RecetteTransport2[Entreprise],"POLYKABEL",RecetteTransport2[Etat Réflecto],"Validé",RecetteTransport2[Etat Mécanique],"Validé")</calculatedColumnFormula>
    </tableColumn>
    <tableColumn id="7" xr3:uid="{3249C7E8-CB6A-4F5C-906C-3CDDFFF202B6}" name="SMT">
      <calculatedColumnFormula>COUNTIFS(RecetteTransport2[Entreprise],"SMT",RecetteTransport2[Etat Réflecto],"Validé",RecetteTransport2[Etat Mécanique],"Validé")</calculatedColumnFormula>
    </tableColumn>
    <tableColumn id="8" xr3:uid="{65A6EF21-421F-4E59-A4CE-45CB6658C31F}" name="FUZION">
      <calculatedColumnFormula>COUNTIFS(RecetteTransport2[Entreprise],"FUZION",RecetteTransport2[Etat Réflecto],"Validé",RecetteTransport2[Etat Mécanique],"Validé")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D55FAE-7F16-4E1C-8A2C-2CF179D5E7F9}" name="RecetteTransport13" displayName="RecetteTransport13" ref="A10:BF46" totalsRowShown="0">
  <autoFilter ref="A10:BF46" xr:uid="{27A564CA-8353-40F9-A6B3-87184A111C03}">
    <filterColumn colId="1">
      <filters>
        <filter val="HERRAS"/>
      </filters>
    </filterColumn>
  </autoFilter>
  <tableColumns count="58">
    <tableColumn id="1" xr3:uid="{431079D1-7602-4A4B-9488-C1B7FA951EE7}" name="Activité"/>
    <tableColumn id="2" xr3:uid="{5E79E480-E497-4409-BAD5-38F0E3F58050}" name="Entreprise"/>
    <tableColumn id="13" xr3:uid="{FC7EC5A6-C87C-4B9E-B278-983343720FB3}" name="DOE"/>
    <tableColumn id="3" xr3:uid="{D59C2668-9196-48F3-80D1-313E3A3688A3}" name="NRO"/>
    <tableColumn id="4" xr3:uid="{3745B0A9-4C19-4362-97A2-D90DDEF1B76C}" name="Zone déclaré à Recetter"/>
    <tableColumn id="19" xr3:uid="{FF08D574-938A-4E24-A572-2EA1E6A4BF03}" name="Méca" dataDxfId="105"/>
    <tableColumn id="20" xr3:uid="{BDA61E5F-7AC3-47D8-BB2E-F397E6AA736C}" name="Ref" dataDxfId="104"/>
    <tableColumn id="5" xr3:uid="{4F280BA7-B632-4575-99CF-8B57697B911B}" name="Rep Méca2" dataDxfId="103">
      <calculatedColumnFormula>RecetteTransport13[[#All],[Nb de reprises restantes]]</calculatedColumnFormula>
    </tableColumn>
    <tableColumn id="6" xr3:uid="{B34A4BE8-3540-4724-B9A6-63E302E7A2AC}" name="Critique" dataDxfId="102">
      <calculatedColumnFormula>RecetteTransport13[[#All],[Nb de reprises Restantes Critique]]</calculatedColumnFormula>
    </tableColumn>
    <tableColumn id="7" xr3:uid="{B22CAD3D-A254-468A-833D-1AC0FB32FD3B}" name="Opti" dataDxfId="101">
      <calculatedColumnFormula>RecetteTransport13[[#All],[Nb de reprises optiques Restantes]]</calculatedColumnFormula>
    </tableColumn>
    <tableColumn id="9" xr3:uid="{00BBF4F3-2E9C-4FBB-B82A-DF4A5E58B7DE}" name="Etat"/>
    <tableColumn id="14" xr3:uid="{E7F4982E-588C-4159-A64B-60E137510BAD}" name="Commentaire"/>
    <tableColumn id="10" xr3:uid="{8E3A8FCA-C74C-4725-8562-BE843E5D163E}" name="Date de demande de Recette" dataDxfId="100"/>
    <tableColumn id="11" xr3:uid="{562B218F-9117-45C9-8F91-E95AFBD1EAD6}" name="Nb Objets Total" dataDxfId="99"/>
    <tableColumn id="12" xr3:uid="{168D2E00-6E47-40F2-B1B1-139FD670D8C8}" name="Nb Objets Réalisés"/>
    <tableColumn id="15" xr3:uid="{CEEE646A-3C1B-4F70-A0D5-9C720837E38B}" name="Date de demande + 10JO" dataDxfId="98">
      <calculatedColumnFormula>RecetteTransport13[[#All],[Date de demande de Recette]]+10</calculatedColumnFormula>
    </tableColumn>
    <tableColumn id="16" xr3:uid="{F8DA99B1-9953-4AA5-A736-9095C6F1A7D6}" name="Date de fin  de Recette" dataDxfId="97"/>
    <tableColumn id="17" xr3:uid="{A6C1E089-E77A-4AC9-9A72-940A94557463}" name="Méca2" dataDxfId="96"/>
    <tableColumn id="27" xr3:uid="{BE1DC9B8-4ECA-4D8D-91D0-342C73512A1B}" name="Optique" dataDxfId="95"/>
    <tableColumn id="25" xr3:uid="{2E369387-35DB-4F50-A223-737044847BCF}" name="TFX" dataDxfId="94"/>
    <tableColumn id="26" xr3:uid="{EB20F67A-F480-4ABC-82C9-CE90B0981A0E}" name="GC" dataDxfId="93"/>
    <tableColumn id="8" xr3:uid="{655F3C7A-7C3D-417C-83F1-17C1757528B3}" name="Dossier de mesure" dataDxfId="92"/>
    <tableColumn id="28" xr3:uid="{930886FF-1AB2-4E31-ACC3-952790F91B48}" name="Commentaire2" dataDxfId="91"/>
    <tableColumn id="29" xr3:uid="{F9A104F8-4F8C-4990-A470-027C14ABB5A9}" name="Nb Objets controlés"/>
    <tableColumn id="30" xr3:uid="{78793A3D-E218-475F-A45C-DBB343F2F589}" name="Objets contrôlés / Total" dataDxfId="90">
      <calculatedColumnFormula>RecetteTransport13[[#All],[Nb Objets controlés]]/RecetteTransport13[[#All],[Nb Objets Total]]</calculatedColumnFormula>
    </tableColumn>
    <tableColumn id="31" xr3:uid="{3E31C319-DB5C-413B-9B20-DE4A4C3077AC}" name="Objets contrôlés / Réalisés" dataDxfId="89">
      <calculatedColumnFormula>RecetteTransport13[[#All],[Nb Objets controlés]]/RecetteTransport13[[#All],[Nb Objets Réalisés]]</calculatedColumnFormula>
    </tableColumn>
    <tableColumn id="34" xr3:uid="{3663E4EA-D98A-4101-A874-2D7C18D42120}" name="Nb de CR"/>
    <tableColumn id="35" xr3:uid="{8F9BBB2C-8164-4D49-B925-629F6F7487B6}" name="Nb de CR non conforme"/>
    <tableColumn id="36" xr3:uid="{D33D216E-9248-495D-A9E1-46B389F4FDE1}" name="Nb de CR conformes" dataDxfId="88">
      <calculatedColumnFormula>RecetteTransport13[[#All],[Nb de CR]]-RecetteTransport13[[#All],[Nb de CR non conforme]]</calculatedColumnFormula>
    </tableColumn>
    <tableColumn id="37" xr3:uid="{FE892D72-7A7F-437D-8FF8-068953963481}" name="Pourcentage de fiche conformes" dataDxfId="87">
      <calculatedColumnFormula>RecetteTransport13[[#All],[Nb de CR conformes]]/RecetteTransport13[[#All],[Nb de CR]]</calculatedColumnFormula>
    </tableColumn>
    <tableColumn id="38" xr3:uid="{E48F8D55-43E7-4449-B0D5-7D1E84766059}" name="Pourcentage de fiche non conforme" dataDxfId="86">
      <calculatedColumnFormula>RecetteTransport13[[#All],[Nb de CR non conforme]]/RecetteTransport13[[#All],[Nb de CR]]</calculatedColumnFormula>
    </tableColumn>
    <tableColumn id="39" xr3:uid="{E6FA0EC9-A9AF-430E-BD61-E7B04FE919C1}" name="Nb de point d'audit" dataDxfId="85"/>
    <tableColumn id="40" xr3:uid="{138325BB-FB69-4348-8A46-F2A7621CE95F}" name="Nb de reprises lors de l'audit" dataDxfId="84"/>
    <tableColumn id="41" xr3:uid="{583CDB64-B540-45CB-9FD1-40A5195006EC}" name="Rapport de reprise par CR" dataDxfId="83">
      <calculatedColumnFormula>RecetteTransport13[[#All],[Nb de reprises lors de l''audit]]/RecetteTransport13[[#All],[Nb de CR]]</calculatedColumnFormula>
    </tableColumn>
    <tableColumn id="42" xr3:uid="{A1B01536-27E6-4757-BE11-6EF33C56F3DA}" name="Nb de reprises total" dataDxfId="82"/>
    <tableColumn id="43" xr3:uid="{FD69E1BC-3A21-490F-A89E-A8727AB95B7A}" name=" Nb Reprise Mineur"/>
    <tableColumn id="44" xr3:uid="{B74DED7F-1B25-4237-B521-0302162DA809}" name="Pourcentage Reprise Mineur" dataDxfId="81">
      <calculatedColumnFormula>RecetteTransport13[[#All],[ Nb Reprise Mineur]]/RecetteTransport13[[#All],[Nb de reprises total]]</calculatedColumnFormula>
    </tableColumn>
    <tableColumn id="45" xr3:uid="{600AF006-63DF-4FDA-B9E5-918FB7E2286B}" name="Nb Reprise Majeur"/>
    <tableColumn id="46" xr3:uid="{472EB510-A26C-4682-8429-4114A929823B}" name="Pourcentage Reprise Majeur" dataDxfId="80">
      <calculatedColumnFormula>RecetteTransport13[[#All],[Nb Reprise Majeur]]/RecetteTransport13[[#All],[Nb de reprises total]]</calculatedColumnFormula>
    </tableColumn>
    <tableColumn id="47" xr3:uid="{FAAD3F28-E1CD-446E-9E9E-67EC52ED6693}" name="Nb de reprises critique" dataDxfId="79"/>
    <tableColumn id="48" xr3:uid="{8AA1AB79-722E-46FA-ADFB-DDA2F10C05E4}" name="Pourcentage Reprise critique" dataDxfId="78">
      <calculatedColumnFormula>RecetteTransport13[[#All],[Nb de reprises critique]]/RecetteTransport13[[#All],[Nb de reprises total]]</calculatedColumnFormula>
    </tableColumn>
    <tableColumn id="49" xr3:uid="{04B7FB3E-27AD-43C3-9926-5C90C3F3F589}" name="Reprises critique par CR" dataDxfId="77">
      <calculatedColumnFormula>RecetteTransport13[[#All],[Nb de reprises critique]]/RecetteTransport13[[#All],[Nb de reprises total]]</calculatedColumnFormula>
    </tableColumn>
    <tableColumn id="50" xr3:uid="{2F353ECB-32DC-46E7-84CA-0804BAB65275}" name="Description des criticitées" dataDxfId="76"/>
    <tableColumn id="51" xr3:uid="{54698390-5496-4F30-A404-D04AE697B181}" name="Date d'envoie liste complète des reprises" dataDxfId="75"/>
    <tableColumn id="52" xr3:uid="{E7A069DD-A61F-4773-BF6D-B4D7693A4DA9}" name="Nb de reprises validées Mineur" dataDxfId="74"/>
    <tableColumn id="53" xr3:uid="{4386AFEB-A1A5-41EF-BE04-440074706CDA}" name="Nb de reprises Restantes Mineur" dataDxfId="73">
      <calculatedColumnFormula>RecetteTransport13[[#All],[ Nb Reprise Mineur]]-RecetteTransport13[[#All],[Nb de reprises validées Mineur]]</calculatedColumnFormula>
    </tableColumn>
    <tableColumn id="54" xr3:uid="{83966747-DB7C-4751-A2DC-6322CBBF106D}" name="Nb de reprises validées Majeur" dataDxfId="72"/>
    <tableColumn id="55" xr3:uid="{25BCF50E-DE4C-460D-B7BF-7A09B8EF1D98}" name="Nb de reprises Restantes Majeur" dataDxfId="71">
      <calculatedColumnFormula>RecetteTransport13[[#This Row],[Nb Reprise Majeur]]-RecetteTransport13[[#This Row],[Nb de reprises validées Majeur]]</calculatedColumnFormula>
    </tableColumn>
    <tableColumn id="56" xr3:uid="{59861397-5238-45DC-949A-FBB56A753DD9}" name="Nb de reprises validées Critique" dataDxfId="70"/>
    <tableColumn id="57" xr3:uid="{9BBB2BFA-9887-47AB-BD68-C3FA28D23D67}" name="Nb de reprises Restantes Critique" dataDxfId="69">
      <calculatedColumnFormula>RecetteTransport13[[#All],[Nb de reprises critique]]-RecetteTransport13[[#All],[Nb de reprises validées Critique]]</calculatedColumnFormula>
    </tableColumn>
    <tableColumn id="58" xr3:uid="{0E094F80-299D-4DDC-AAA7-D19D07FFED94}" name="Nb de reprises restantes" dataDxfId="68">
      <calculatedColumnFormula>RecetteTransport13[[#All],[Nb de reprises Restantes Mineur]]+RecetteTransport13[[#All],[Nb de reprises Restantes Majeur]]+RecetteTransport13[[#All],[Nb de reprises Restantes Critique]]</calculatedColumnFormula>
    </tableColumn>
    <tableColumn id="59" xr3:uid="{05733481-38DA-48A3-89E4-D2D0761FCB12}" name="Nb de reprises Optiques"/>
    <tableColumn id="60" xr3:uid="{04D9EEC4-7B9B-4631-A4FB-BF2F821B3F52}" name="Nb de reprises Optique / CR" dataDxfId="67">
      <calculatedColumnFormula>RecetteTransport13[[#All],[Nb de reprises Optiques]]/RecetteTransport13[[#All],[Nb de CR]]</calculatedColumnFormula>
    </tableColumn>
    <tableColumn id="61" xr3:uid="{A9163828-8EFA-41DC-BBCB-40199D4DCCF7}" name="Nb de reprises Optiques réalisées"/>
    <tableColumn id="62" xr3:uid="{F742310F-4A87-4824-A750-519A8C90C41E}" name="Pourcentage de reprise Optique réalisé"/>
    <tableColumn id="63" xr3:uid="{5ECA22C0-D219-46B6-9B4E-A5C1657A9D8B}" name="Nb de reprises Optiques validées" dataDxfId="66"/>
    <tableColumn id="64" xr3:uid="{280CBB62-4688-4DDE-A8F1-4493BDD62074}" name="Pourcentage de reprises Optiques validées"/>
    <tableColumn id="65" xr3:uid="{4F81A073-5855-401F-A325-4F91CF434529}" name="Nb de reprises optiques Restantes" dataDxfId="65">
      <calculatedColumnFormula>RecetteTransport13[[#This Row],[Nb de reprises Optiques]]-RecetteTransport13[[#This Row],[Nb de reprises Optiques validées]]</calculatedColumnFormula>
    </tableColumn>
  </tableColumns>
  <tableStyleInfo name="TableStyleMedium2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C81AD4-0D82-4B93-9BFB-242BD2CD49E5}" name="Tableau4" displayName="Tableau4" ref="B12:E17" totalsRowShown="0" headerRowDxfId="64" dataDxfId="62" headerRowBorderDxfId="63" tableBorderDxfId="61" totalsRowBorderDxfId="60">
  <autoFilter ref="B12:E17" xr:uid="{79F21505-6130-4ABD-990B-8CDB4155BE89}"/>
  <tableColumns count="4">
    <tableColumn id="1" xr3:uid="{FB76D946-AE9B-46C8-BE44-7BBD2C0F52C8}" name="Tâche" dataDxfId="59"/>
    <tableColumn id="2" xr3:uid="{2C5A24DF-875D-4338-A015-BC27EC90BE47}" name="Semaine" dataDxfId="58"/>
    <tableColumn id="3" xr3:uid="{49A8D83B-0CDA-4361-BD16-EEE556063B35}" name="Total" dataDxfId="57">
      <calculatedColumnFormula>RecetteTransport2[[#Totals],[Mesure]]</calculatedColumnFormula>
    </tableColumn>
    <tableColumn id="4" xr3:uid="{039ED21C-5359-4986-892E-46E10E50AC36}" name="% Réalisation" dataDxfId="56">
      <calculatedColumnFormula>Tableau4[[#This Row],[Total]]/755</calculatedColumnFormula>
    </tableColumn>
  </tableColumns>
  <tableStyleInfo name="TableStyleLight1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807CDA-B7D6-4FC3-99BA-FAC77A2A5352}" name="Tableau5" displayName="Tableau5" ref="B21:J26" totalsRowShown="0" headerRowDxfId="55" dataDxfId="53" headerRowBorderDxfId="54" tableBorderDxfId="52" totalsRowBorderDxfId="51">
  <autoFilter ref="B21:J26" xr:uid="{F5F02AE1-BD33-4BE0-9AAF-8F0C7633A655}"/>
  <tableColumns count="9">
    <tableColumn id="1" xr3:uid="{539DACD6-FA18-4D7D-9567-840116264F0C}" name="Colonne1" dataDxfId="50"/>
    <tableColumn id="2" xr3:uid="{2513DDB0-3B7A-463D-80BC-C6A333A6964B}" name="ASPEN" dataDxfId="49"/>
    <tableColumn id="3" xr3:uid="{64CBD5B9-8BE8-455F-A882-3EE8113749B5}" name="BYON" dataDxfId="48"/>
    <tableColumn id="4" xr3:uid="{9939921F-93B8-45CF-9861-FE666C48F936}" name="FUZION" dataDxfId="47"/>
    <tableColumn id="5" xr3:uid="{CC0EDC6A-D1E5-4639-8330-4079A2B4C4C0}" name="HERRAS" dataDxfId="46"/>
    <tableColumn id="6" xr3:uid="{61A47AAB-0B7B-4105-A4FD-B904834E3280}" name="POLYKABEL" dataDxfId="45"/>
    <tableColumn id="7" xr3:uid="{E48A8954-2328-4BEB-A9C2-6A3E8118240A}" name="SOGETREL" dataDxfId="44"/>
    <tableColumn id="8" xr3:uid="{98EB6129-8FBF-4B75-BDA0-8ABDA6B352B6}" name="SMT" dataDxfId="43"/>
    <tableColumn id="9" xr3:uid="{473CF916-1A6D-49AE-816F-2A8E5D525CF6}" name="TOTAL" dataDxfId="42">
      <calculatedColumnFormula>SUM(Tableau5[[#This Row],[ASPEN]:[SMT]])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BD89D-5610-44F7-AD70-4C3F6F604FD3}">
  <sheetPr codeName="Feuil1"/>
  <dimension ref="A1:AF399"/>
  <sheetViews>
    <sheetView topLeftCell="A324" workbookViewId="0">
      <selection activeCell="I399" sqref="I399"/>
    </sheetView>
  </sheetViews>
  <sheetFormatPr baseColWidth="10" defaultRowHeight="14.4" x14ac:dyDescent="0.3"/>
  <cols>
    <col min="11" max="13" width="11.5546875" style="50"/>
    <col min="15" max="15" width="11.5546875" customWidth="1"/>
    <col min="16" max="16" width="0.21875" customWidth="1"/>
    <col min="17" max="17" width="11.5546875" hidden="1" customWidth="1"/>
    <col min="18" max="18" width="15.88671875" customWidth="1"/>
    <col min="19" max="19" width="11.88671875" style="2" customWidth="1"/>
    <col min="20" max="20" width="8" style="50" hidden="1" customWidth="1"/>
    <col min="21" max="21" width="9.44140625" style="50" hidden="1" customWidth="1"/>
    <col min="22" max="22" width="11.21875" customWidth="1"/>
    <col min="23" max="23" width="0.21875" style="50" customWidth="1"/>
    <col min="24" max="24" width="10.109375" style="11" hidden="1" customWidth="1"/>
    <col min="25" max="25" width="12" style="2" customWidth="1"/>
    <col min="26" max="26" width="0.44140625" customWidth="1"/>
    <col min="27" max="27" width="6.88671875" hidden="1" customWidth="1"/>
    <col min="30" max="30" width="11.5546875" style="50"/>
    <col min="32" max="32" width="11.5546875" style="2"/>
  </cols>
  <sheetData>
    <row r="1" spans="1:32" ht="63.6" customHeight="1" x14ac:dyDescent="0.3">
      <c r="A1" s="3" t="s">
        <v>0</v>
      </c>
      <c r="B1" s="3" t="s">
        <v>1</v>
      </c>
      <c r="C1" s="3" t="s">
        <v>40</v>
      </c>
      <c r="D1" s="3" t="s">
        <v>58</v>
      </c>
      <c r="E1" s="3" t="s">
        <v>182</v>
      </c>
      <c r="F1" s="3" t="s">
        <v>191</v>
      </c>
      <c r="G1" s="21" t="s">
        <v>27</v>
      </c>
      <c r="H1" s="21" t="s">
        <v>135</v>
      </c>
      <c r="I1" s="21" t="s">
        <v>141</v>
      </c>
      <c r="J1" s="21" t="s">
        <v>159</v>
      </c>
      <c r="K1" s="52" t="s">
        <v>88</v>
      </c>
      <c r="L1" s="52" t="s">
        <v>78</v>
      </c>
      <c r="M1" s="52" t="s">
        <v>264</v>
      </c>
      <c r="N1" s="20" t="s">
        <v>382</v>
      </c>
      <c r="O1" s="20" t="s">
        <v>390</v>
      </c>
      <c r="P1" s="20" t="s">
        <v>386</v>
      </c>
      <c r="Q1" s="20" t="s">
        <v>295</v>
      </c>
      <c r="R1" s="20" t="s">
        <v>383</v>
      </c>
      <c r="S1" s="109" t="s">
        <v>299</v>
      </c>
      <c r="T1" s="51" t="s">
        <v>300</v>
      </c>
      <c r="U1" s="51" t="s">
        <v>301</v>
      </c>
      <c r="V1" s="85" t="s">
        <v>136</v>
      </c>
      <c r="W1" s="86" t="s">
        <v>296</v>
      </c>
      <c r="X1" s="87" t="s">
        <v>297</v>
      </c>
      <c r="Y1" s="88" t="s">
        <v>157</v>
      </c>
      <c r="Z1" s="89" t="s">
        <v>419</v>
      </c>
      <c r="AA1" s="89" t="s">
        <v>420</v>
      </c>
      <c r="AB1" s="22" t="s">
        <v>156</v>
      </c>
      <c r="AC1" s="22" t="s">
        <v>158</v>
      </c>
      <c r="AD1" s="49" t="s">
        <v>50</v>
      </c>
      <c r="AE1" s="7" t="s">
        <v>55</v>
      </c>
      <c r="AF1" s="46" t="s">
        <v>298</v>
      </c>
    </row>
    <row r="2" spans="1:32" hidden="1" x14ac:dyDescent="0.3">
      <c r="A2" t="s">
        <v>12</v>
      </c>
      <c r="B2" t="s">
        <v>20</v>
      </c>
      <c r="C2" t="s">
        <v>347</v>
      </c>
      <c r="D2" t="s">
        <v>348</v>
      </c>
      <c r="G2" s="11"/>
      <c r="H2" s="11" t="s">
        <v>29</v>
      </c>
      <c r="I2" s="11" t="s">
        <v>29</v>
      </c>
      <c r="J2" s="11">
        <f>RecetteTransport2[[#All],[Fibres TC NOK]]</f>
        <v>0</v>
      </c>
      <c r="K2" s="50">
        <f>RecetteTransport2[[#All],[Valeur Critique]]</f>
        <v>0</v>
      </c>
      <c r="L2" s="50">
        <f>AD:AD</f>
        <v>10</v>
      </c>
      <c r="N2" t="s">
        <v>65</v>
      </c>
      <c r="P2">
        <f xml:space="preserve"> _xlfn.ISOWEEKNUM(RecetteTransport2[[#This Row],[Date validation Optique]])</f>
        <v>52</v>
      </c>
      <c r="Q2">
        <f>YEAR(RecetteTransport2[[#This Row],[Date validation Optique]])</f>
        <v>1900</v>
      </c>
      <c r="T2" s="50">
        <f>_xlfn.ISOWEEKNUM(RecetteTransport2[[#This Row],[Date Achevement  Mécanique]])</f>
        <v>52</v>
      </c>
      <c r="U2" s="50">
        <f>YEAR(RecetteTransport2[[#This Row],[Date Achevement  Mécanique]])</f>
        <v>1900</v>
      </c>
      <c r="V2" s="2">
        <v>44252</v>
      </c>
      <c r="W2" s="50">
        <f>_xlfn.ISOWEEKNUM(RecetteTransport2[[#This Row],[Date de mesure]])</f>
        <v>8</v>
      </c>
      <c r="X2" s="11">
        <f>YEAR(RecetteTransport2[[#This Row],[Date de mesure]])</f>
        <v>2021</v>
      </c>
      <c r="Y2" s="2">
        <v>44263</v>
      </c>
      <c r="Z2" s="50">
        <f>_xlfn.ISOWEEKNUM(RecetteTransport2[[#This Row],[Date envoie dossier mesure]])</f>
        <v>10</v>
      </c>
      <c r="AA2" s="50">
        <f>YEAR(RecetteTransport2[[#This Row],[Date envoie dossier mesure]])</f>
        <v>2021</v>
      </c>
      <c r="AB2" s="11">
        <v>0</v>
      </c>
      <c r="AC2" s="11">
        <v>0</v>
      </c>
      <c r="AD2" s="50">
        <v>10</v>
      </c>
      <c r="AE2" s="6" t="e">
        <f>RecetteTransport2[[#All],[Nb de reprises Optiques]]/#REF!</f>
        <v>#REF!</v>
      </c>
      <c r="AF2" s="6"/>
    </row>
    <row r="3" spans="1:32" hidden="1" x14ac:dyDescent="0.3">
      <c r="A3" t="s">
        <v>12</v>
      </c>
      <c r="B3" t="s">
        <v>20</v>
      </c>
      <c r="C3" t="s">
        <v>347</v>
      </c>
      <c r="D3" t="s">
        <v>349</v>
      </c>
      <c r="G3" s="11"/>
      <c r="H3" s="11" t="s">
        <v>29</v>
      </c>
      <c r="I3" s="11" t="s">
        <v>29</v>
      </c>
      <c r="J3" s="11">
        <f>RecetteTransport2[[#All],[Fibres TC NOK]]</f>
        <v>0</v>
      </c>
      <c r="K3" s="50">
        <f>RecetteTransport2[[#All],[Valeur Critique]]</f>
        <v>0</v>
      </c>
      <c r="L3" s="50">
        <f>AD:AD</f>
        <v>54</v>
      </c>
      <c r="N3" t="s">
        <v>65</v>
      </c>
      <c r="P3">
        <f xml:space="preserve"> _xlfn.ISOWEEKNUM(RecetteTransport2[[#This Row],[Date validation Optique]])</f>
        <v>52</v>
      </c>
      <c r="Q3">
        <f>YEAR(RecetteTransport2[[#This Row],[Date validation Optique]])</f>
        <v>1900</v>
      </c>
      <c r="T3" s="50">
        <f>_xlfn.ISOWEEKNUM(RecetteTransport2[[#This Row],[Date Achevement  Mécanique]])</f>
        <v>52</v>
      </c>
      <c r="U3" s="50">
        <f>YEAR(RecetteTransport2[[#This Row],[Date Achevement  Mécanique]])</f>
        <v>1900</v>
      </c>
      <c r="V3" s="2">
        <v>44252</v>
      </c>
      <c r="W3" s="50">
        <f>_xlfn.ISOWEEKNUM(RecetteTransport2[[#This Row],[Date de mesure]])</f>
        <v>8</v>
      </c>
      <c r="X3" s="11">
        <f>YEAR(RecetteTransport2[[#This Row],[Date de mesure]])</f>
        <v>2021</v>
      </c>
      <c r="Y3" s="2">
        <v>44263</v>
      </c>
      <c r="Z3" s="50">
        <f>_xlfn.ISOWEEKNUM(RecetteTransport2[[#This Row],[Date envoie dossier mesure]])</f>
        <v>10</v>
      </c>
      <c r="AA3" s="50">
        <f>YEAR(RecetteTransport2[[#This Row],[Date envoie dossier mesure]])</f>
        <v>2021</v>
      </c>
      <c r="AB3" s="11">
        <v>0</v>
      </c>
      <c r="AC3" s="11">
        <v>0</v>
      </c>
      <c r="AD3" s="50">
        <v>54</v>
      </c>
      <c r="AE3" s="6" t="e">
        <f>RecetteTransport2[[#All],[Nb de reprises Optiques]]/#REF!</f>
        <v>#REF!</v>
      </c>
      <c r="AF3" s="6"/>
    </row>
    <row r="4" spans="1:32" x14ac:dyDescent="0.3">
      <c r="A4" t="s">
        <v>12</v>
      </c>
      <c r="D4" t="s">
        <v>445</v>
      </c>
      <c r="G4" s="11"/>
      <c r="H4" s="11"/>
      <c r="I4" s="11"/>
      <c r="J4" s="11">
        <f>RecetteTransport2[[#All],[Fibres TC NOK]]</f>
        <v>0</v>
      </c>
      <c r="K4" s="50">
        <f>RecetteTransport2[[#All],[Valeur Critique]]</f>
        <v>0</v>
      </c>
      <c r="L4" s="50">
        <f>AD:AD</f>
        <v>0</v>
      </c>
      <c r="P4" s="11">
        <f xml:space="preserve"> _xlfn.ISOWEEKNUM(RecetteTransport2[[#This Row],[Date validation Optique]])</f>
        <v>52</v>
      </c>
      <c r="Q4" s="11">
        <f>YEAR(RecetteTransport2[[#This Row],[Date validation Optique]])</f>
        <v>1900</v>
      </c>
      <c r="S4" s="47" t="e">
        <f>#REF!+10</f>
        <v>#REF!</v>
      </c>
      <c r="T4" s="50" t="e">
        <f>_xlfn.ISOWEEKNUM(RecetteTransport2[[#This Row],[Date Achevement  Mécanique]])</f>
        <v>#REF!</v>
      </c>
      <c r="U4" s="50" t="e">
        <f>YEAR(RecetteTransport2[[#This Row],[Date Achevement  Mécanique]])</f>
        <v>#REF!</v>
      </c>
      <c r="V4" s="47"/>
      <c r="W4" s="50">
        <f>_xlfn.ISOWEEKNUM(RecetteTransport2[[#This Row],[Date de mesure]])</f>
        <v>52</v>
      </c>
      <c r="X4" s="11">
        <f>YEAR(RecetteTransport2[[#This Row],[Date de mesure]])</f>
        <v>1900</v>
      </c>
      <c r="Y4" s="47"/>
      <c r="Z4" s="50">
        <f>_xlfn.ISOWEEKNUM(RecetteTransport2[[#This Row],[Date envoie dossier mesure]])</f>
        <v>52</v>
      </c>
      <c r="AA4" s="50">
        <f>YEAR(RecetteTransport2[[#This Row],[Date envoie dossier mesure]])</f>
        <v>1900</v>
      </c>
      <c r="AB4" s="11"/>
      <c r="AC4" s="11"/>
      <c r="AE4" s="6" t="e">
        <f>RecetteTransport2[[#All],[Nb de reprises Optiques]]/#REF!</f>
        <v>#REF!</v>
      </c>
      <c r="AF4" s="6"/>
    </row>
    <row r="5" spans="1:32" hidden="1" x14ac:dyDescent="0.3">
      <c r="A5" t="s">
        <v>12</v>
      </c>
      <c r="B5" t="s">
        <v>13</v>
      </c>
      <c r="C5" t="s">
        <v>46</v>
      </c>
      <c r="D5" t="s">
        <v>201</v>
      </c>
      <c r="G5" s="11"/>
      <c r="H5" s="11" t="s">
        <v>29</v>
      </c>
      <c r="I5" s="11" t="s">
        <v>29</v>
      </c>
      <c r="J5" s="11">
        <f>RecetteTransport2[[#All],[Fibres TC NOK]]</f>
        <v>0</v>
      </c>
      <c r="K5" s="50">
        <f>RecetteTransport2[[#All],[Valeur Critique]]</f>
        <v>0</v>
      </c>
      <c r="L5" s="50">
        <f>AD:AD</f>
        <v>6</v>
      </c>
      <c r="N5" t="s">
        <v>65</v>
      </c>
      <c r="P5">
        <f xml:space="preserve"> _xlfn.ISOWEEKNUM(RecetteTransport2[[#This Row],[Date validation Optique]])</f>
        <v>52</v>
      </c>
      <c r="Q5">
        <f>YEAR(RecetteTransport2[[#This Row],[Date validation Optique]])</f>
        <v>1900</v>
      </c>
      <c r="T5" s="50">
        <f>_xlfn.ISOWEEKNUM(RecetteTransport2[[#This Row],[Date Achevement  Mécanique]])</f>
        <v>52</v>
      </c>
      <c r="U5" s="50">
        <f>YEAR(RecetteTransport2[[#This Row],[Date Achevement  Mécanique]])</f>
        <v>1900</v>
      </c>
      <c r="V5" s="2"/>
      <c r="W5" s="50">
        <f>_xlfn.ISOWEEKNUM(RecetteTransport2[[#This Row],[Date de mesure]])</f>
        <v>52</v>
      </c>
      <c r="X5" s="11">
        <f>YEAR(RecetteTransport2[[#This Row],[Date de mesure]])</f>
        <v>1900</v>
      </c>
      <c r="Y5" s="2">
        <v>44222</v>
      </c>
      <c r="Z5" s="50">
        <f>_xlfn.ISOWEEKNUM(RecetteTransport2[[#This Row],[Date envoie dossier mesure]])</f>
        <v>4</v>
      </c>
      <c r="AA5" s="50">
        <f>YEAR(RecetteTransport2[[#This Row],[Date envoie dossier mesure]])</f>
        <v>2021</v>
      </c>
      <c r="AB5" s="11">
        <v>0</v>
      </c>
      <c r="AC5" s="11">
        <v>0</v>
      </c>
      <c r="AD5" s="50">
        <v>6</v>
      </c>
      <c r="AE5" s="6" t="e">
        <f>RecetteTransport2[[#All],[Nb de reprises Optiques]]/#REF!</f>
        <v>#REF!</v>
      </c>
      <c r="AF5" s="6"/>
    </row>
    <row r="6" spans="1:32" x14ac:dyDescent="0.3">
      <c r="A6" t="s">
        <v>12</v>
      </c>
      <c r="D6" t="s">
        <v>446</v>
      </c>
      <c r="G6" s="11"/>
      <c r="H6" s="11"/>
      <c r="I6" s="11"/>
      <c r="J6" s="11">
        <f>RecetteTransport2[[#All],[Fibres TC NOK]]</f>
        <v>0</v>
      </c>
      <c r="K6" s="50">
        <f>RecetteTransport2[[#All],[Valeur Critique]]</f>
        <v>0</v>
      </c>
      <c r="L6" s="50">
        <f>AD:AD</f>
        <v>0</v>
      </c>
      <c r="P6" s="11">
        <f xml:space="preserve"> _xlfn.ISOWEEKNUM(RecetteTransport2[[#This Row],[Date validation Optique]])</f>
        <v>52</v>
      </c>
      <c r="Q6" s="11">
        <f>YEAR(RecetteTransport2[[#This Row],[Date validation Optique]])</f>
        <v>1900</v>
      </c>
      <c r="S6" s="47" t="e">
        <f>#REF!+10</f>
        <v>#REF!</v>
      </c>
      <c r="T6" s="50" t="e">
        <f>_xlfn.ISOWEEKNUM(RecetteTransport2[[#This Row],[Date Achevement  Mécanique]])</f>
        <v>#REF!</v>
      </c>
      <c r="U6" s="50" t="e">
        <f>YEAR(RecetteTransport2[[#This Row],[Date Achevement  Mécanique]])</f>
        <v>#REF!</v>
      </c>
      <c r="V6" s="47"/>
      <c r="W6" s="50">
        <f>_xlfn.ISOWEEKNUM(RecetteTransport2[[#This Row],[Date de mesure]])</f>
        <v>52</v>
      </c>
      <c r="X6" s="11">
        <f>YEAR(RecetteTransport2[[#This Row],[Date de mesure]])</f>
        <v>1900</v>
      </c>
      <c r="Y6" s="47"/>
      <c r="Z6" s="50">
        <f>_xlfn.ISOWEEKNUM(RecetteTransport2[[#This Row],[Date envoie dossier mesure]])</f>
        <v>52</v>
      </c>
      <c r="AA6" s="50">
        <f>YEAR(RecetteTransport2[[#This Row],[Date envoie dossier mesure]])</f>
        <v>1900</v>
      </c>
      <c r="AB6" s="11"/>
      <c r="AC6" s="11"/>
      <c r="AE6" s="6" t="e">
        <f>RecetteTransport2[[#All],[Nb de reprises Optiques]]/#REF!</f>
        <v>#REF!</v>
      </c>
      <c r="AF6" s="6"/>
    </row>
    <row r="7" spans="1:32" hidden="1" x14ac:dyDescent="0.3">
      <c r="A7" t="s">
        <v>12</v>
      </c>
      <c r="B7" t="s">
        <v>20</v>
      </c>
      <c r="C7" t="s">
        <v>331</v>
      </c>
      <c r="D7" t="s">
        <v>332</v>
      </c>
      <c r="G7" s="11"/>
      <c r="H7" s="11" t="s">
        <v>29</v>
      </c>
      <c r="I7" s="11" t="s">
        <v>29</v>
      </c>
      <c r="J7" s="11">
        <f>RecetteTransport2[[#All],[Fibres TC NOK]]</f>
        <v>0</v>
      </c>
      <c r="K7" s="50">
        <f>RecetteTransport2[[#All],[Valeur Critique]]</f>
        <v>0</v>
      </c>
      <c r="L7" s="50">
        <f>AD:AD</f>
        <v>12</v>
      </c>
      <c r="N7" t="s">
        <v>65</v>
      </c>
      <c r="P7">
        <f xml:space="preserve"> _xlfn.ISOWEEKNUM(RecetteTransport2[[#This Row],[Date validation Optique]])</f>
        <v>52</v>
      </c>
      <c r="Q7">
        <f>YEAR(RecetteTransport2[[#This Row],[Date validation Optique]])</f>
        <v>1900</v>
      </c>
      <c r="T7" s="50">
        <f>_xlfn.ISOWEEKNUM(RecetteTransport2[[#This Row],[Date Achevement  Mécanique]])</f>
        <v>52</v>
      </c>
      <c r="U7" s="50">
        <f>YEAR(RecetteTransport2[[#This Row],[Date Achevement  Mécanique]])</f>
        <v>1900</v>
      </c>
      <c r="V7" s="2">
        <v>44236</v>
      </c>
      <c r="W7" s="50">
        <f>_xlfn.ISOWEEKNUM(RecetteTransport2[[#This Row],[Date de mesure]])</f>
        <v>6</v>
      </c>
      <c r="X7" s="11">
        <f>YEAR(RecetteTransport2[[#This Row],[Date de mesure]])</f>
        <v>2021</v>
      </c>
      <c r="Y7" s="2">
        <v>44270</v>
      </c>
      <c r="Z7" s="50">
        <f>_xlfn.ISOWEEKNUM(RecetteTransport2[[#This Row],[Date envoie dossier mesure]])</f>
        <v>11</v>
      </c>
      <c r="AA7" s="50">
        <f>YEAR(RecetteTransport2[[#This Row],[Date envoie dossier mesure]])</f>
        <v>2021</v>
      </c>
      <c r="AB7" s="11">
        <v>0</v>
      </c>
      <c r="AC7" s="11">
        <v>0</v>
      </c>
      <c r="AD7" s="50">
        <v>12</v>
      </c>
      <c r="AE7" s="6" t="e">
        <f>RecetteTransport2[[#All],[Nb de reprises Optiques]]/#REF!</f>
        <v>#REF!</v>
      </c>
      <c r="AF7" s="6"/>
    </row>
    <row r="8" spans="1:32" hidden="1" x14ac:dyDescent="0.3">
      <c r="A8" t="s">
        <v>12</v>
      </c>
      <c r="B8" t="s">
        <v>20</v>
      </c>
      <c r="C8" t="s">
        <v>331</v>
      </c>
      <c r="D8" t="s">
        <v>333</v>
      </c>
      <c r="G8" s="11"/>
      <c r="H8" s="11" t="s">
        <v>29</v>
      </c>
      <c r="I8" s="11" t="s">
        <v>29</v>
      </c>
      <c r="J8" s="11">
        <f>RecetteTransport2[[#All],[Fibres TC NOK]]</f>
        <v>0</v>
      </c>
      <c r="K8" s="50">
        <f>RecetteTransport2[[#All],[Valeur Critique]]</f>
        <v>0</v>
      </c>
      <c r="L8" s="50">
        <f>AD:AD</f>
        <v>10</v>
      </c>
      <c r="N8" t="s">
        <v>65</v>
      </c>
      <c r="P8">
        <f xml:space="preserve"> _xlfn.ISOWEEKNUM(RecetteTransport2[[#This Row],[Date validation Optique]])</f>
        <v>52</v>
      </c>
      <c r="Q8">
        <f>YEAR(RecetteTransport2[[#This Row],[Date validation Optique]])</f>
        <v>1900</v>
      </c>
      <c r="T8" s="50">
        <f>_xlfn.ISOWEEKNUM(RecetteTransport2[[#This Row],[Date Achevement  Mécanique]])</f>
        <v>52</v>
      </c>
      <c r="U8" s="50">
        <f>YEAR(RecetteTransport2[[#This Row],[Date Achevement  Mécanique]])</f>
        <v>1900</v>
      </c>
      <c r="V8" s="2">
        <v>44236</v>
      </c>
      <c r="W8" s="50">
        <f>_xlfn.ISOWEEKNUM(RecetteTransport2[[#This Row],[Date de mesure]])</f>
        <v>6</v>
      </c>
      <c r="X8" s="11">
        <f>YEAR(RecetteTransport2[[#This Row],[Date de mesure]])</f>
        <v>2021</v>
      </c>
      <c r="Y8" s="2">
        <v>44270</v>
      </c>
      <c r="Z8" s="50">
        <f>_xlfn.ISOWEEKNUM(RecetteTransport2[[#This Row],[Date envoie dossier mesure]])</f>
        <v>11</v>
      </c>
      <c r="AA8" s="50">
        <f>YEAR(RecetteTransport2[[#This Row],[Date envoie dossier mesure]])</f>
        <v>2021</v>
      </c>
      <c r="AB8" s="11">
        <v>0</v>
      </c>
      <c r="AC8" s="11">
        <v>0</v>
      </c>
      <c r="AD8" s="50">
        <v>10</v>
      </c>
      <c r="AE8" s="6" t="e">
        <f>RecetteTransport2[[#All],[Nb de reprises Optiques]]/#REF!</f>
        <v>#REF!</v>
      </c>
      <c r="AF8" s="6"/>
    </row>
    <row r="9" spans="1:32" x14ac:dyDescent="0.3">
      <c r="A9" t="s">
        <v>12</v>
      </c>
      <c r="D9" t="s">
        <v>447</v>
      </c>
      <c r="G9" s="11"/>
      <c r="H9" s="11"/>
      <c r="I9" s="11"/>
      <c r="J9" s="11">
        <f>RecetteTransport2[[#All],[Fibres TC NOK]]</f>
        <v>0</v>
      </c>
      <c r="K9" s="50">
        <f>RecetteTransport2[[#All],[Valeur Critique]]</f>
        <v>0</v>
      </c>
      <c r="L9" s="50">
        <f>AD:AD</f>
        <v>0</v>
      </c>
      <c r="P9" s="11">
        <f xml:space="preserve"> _xlfn.ISOWEEKNUM(RecetteTransport2[[#This Row],[Date validation Optique]])</f>
        <v>52</v>
      </c>
      <c r="Q9" s="11">
        <f>YEAR(RecetteTransport2[[#This Row],[Date validation Optique]])</f>
        <v>1900</v>
      </c>
      <c r="S9" s="47" t="e">
        <f>#REF!+10</f>
        <v>#REF!</v>
      </c>
      <c r="T9" s="50" t="e">
        <f>_xlfn.ISOWEEKNUM(RecetteTransport2[[#This Row],[Date Achevement  Mécanique]])</f>
        <v>#REF!</v>
      </c>
      <c r="U9" s="50" t="e">
        <f>YEAR(RecetteTransport2[[#This Row],[Date Achevement  Mécanique]])</f>
        <v>#REF!</v>
      </c>
      <c r="V9" s="47"/>
      <c r="W9" s="50">
        <f>_xlfn.ISOWEEKNUM(RecetteTransport2[[#This Row],[Date de mesure]])</f>
        <v>52</v>
      </c>
      <c r="X9" s="11">
        <f>YEAR(RecetteTransport2[[#This Row],[Date de mesure]])</f>
        <v>1900</v>
      </c>
      <c r="Y9" s="47"/>
      <c r="Z9" s="50">
        <f>_xlfn.ISOWEEKNUM(RecetteTransport2[[#This Row],[Date envoie dossier mesure]])</f>
        <v>52</v>
      </c>
      <c r="AA9" s="50">
        <f>YEAR(RecetteTransport2[[#This Row],[Date envoie dossier mesure]])</f>
        <v>1900</v>
      </c>
      <c r="AB9" s="11"/>
      <c r="AC9" s="11"/>
      <c r="AE9" s="6" t="e">
        <f>RecetteTransport2[[#All],[Nb de reprises Optiques]]/#REF!</f>
        <v>#REF!</v>
      </c>
      <c r="AF9" s="6"/>
    </row>
    <row r="10" spans="1:32" hidden="1" x14ac:dyDescent="0.3">
      <c r="A10" t="s">
        <v>12</v>
      </c>
      <c r="B10" t="s">
        <v>20</v>
      </c>
      <c r="C10" t="s">
        <v>331</v>
      </c>
      <c r="D10" t="s">
        <v>334</v>
      </c>
      <c r="G10" s="11"/>
      <c r="H10" s="11" t="s">
        <v>29</v>
      </c>
      <c r="I10" s="11" t="s">
        <v>29</v>
      </c>
      <c r="J10" s="11">
        <f>RecetteTransport2[[#All],[Fibres TC NOK]]</f>
        <v>4</v>
      </c>
      <c r="K10" s="50">
        <f>RecetteTransport2[[#All],[Valeur Critique]]</f>
        <v>1</v>
      </c>
      <c r="L10" s="50">
        <f>AD:AD</f>
        <v>30</v>
      </c>
      <c r="N10" t="s">
        <v>65</v>
      </c>
      <c r="P10">
        <f xml:space="preserve"> _xlfn.ISOWEEKNUM(RecetteTransport2[[#This Row],[Date validation Optique]])</f>
        <v>52</v>
      </c>
      <c r="Q10">
        <f>YEAR(RecetteTransport2[[#This Row],[Date validation Optique]])</f>
        <v>1900</v>
      </c>
      <c r="T10" s="50">
        <f>_xlfn.ISOWEEKNUM(RecetteTransport2[[#This Row],[Date Achevement  Mécanique]])</f>
        <v>52</v>
      </c>
      <c r="U10" s="50">
        <f>YEAR(RecetteTransport2[[#This Row],[Date Achevement  Mécanique]])</f>
        <v>1900</v>
      </c>
      <c r="V10" s="2">
        <v>44236</v>
      </c>
      <c r="W10" s="50">
        <f>_xlfn.ISOWEEKNUM(RecetteTransport2[[#This Row],[Date de mesure]])</f>
        <v>6</v>
      </c>
      <c r="X10" s="11">
        <f>YEAR(RecetteTransport2[[#This Row],[Date de mesure]])</f>
        <v>2021</v>
      </c>
      <c r="Y10" s="2">
        <v>44270</v>
      </c>
      <c r="Z10" s="50">
        <f>_xlfn.ISOWEEKNUM(RecetteTransport2[[#This Row],[Date envoie dossier mesure]])</f>
        <v>11</v>
      </c>
      <c r="AA10" s="50">
        <f>YEAR(RecetteTransport2[[#This Row],[Date envoie dossier mesure]])</f>
        <v>2021</v>
      </c>
      <c r="AB10" s="11">
        <v>4</v>
      </c>
      <c r="AC10" s="11">
        <v>1</v>
      </c>
      <c r="AD10" s="50">
        <v>30</v>
      </c>
      <c r="AE10" s="6" t="e">
        <f>RecetteTransport2[[#All],[Nb de reprises Optiques]]/#REF!</f>
        <v>#REF!</v>
      </c>
      <c r="AF10" s="6"/>
    </row>
    <row r="11" spans="1:32" hidden="1" x14ac:dyDescent="0.3">
      <c r="A11" t="s">
        <v>12</v>
      </c>
      <c r="B11" t="s">
        <v>20</v>
      </c>
      <c r="C11" t="s">
        <v>331</v>
      </c>
      <c r="D11" t="s">
        <v>335</v>
      </c>
      <c r="G11" s="11"/>
      <c r="H11" s="11" t="s">
        <v>29</v>
      </c>
      <c r="I11" s="11" t="s">
        <v>29</v>
      </c>
      <c r="J11" s="11">
        <f>RecetteTransport2[[#All],[Fibres TC NOK]]</f>
        <v>0</v>
      </c>
      <c r="K11" s="50">
        <f>RecetteTransport2[[#All],[Valeur Critique]]</f>
        <v>0</v>
      </c>
      <c r="L11" s="50">
        <f>AD:AD</f>
        <v>15</v>
      </c>
      <c r="N11" t="s">
        <v>65</v>
      </c>
      <c r="P11">
        <f xml:space="preserve"> _xlfn.ISOWEEKNUM(RecetteTransport2[[#This Row],[Date validation Optique]])</f>
        <v>52</v>
      </c>
      <c r="Q11">
        <f>YEAR(RecetteTransport2[[#This Row],[Date validation Optique]])</f>
        <v>1900</v>
      </c>
      <c r="T11" s="50">
        <f>_xlfn.ISOWEEKNUM(RecetteTransport2[[#This Row],[Date Achevement  Mécanique]])</f>
        <v>52</v>
      </c>
      <c r="U11" s="50">
        <f>YEAR(RecetteTransport2[[#This Row],[Date Achevement  Mécanique]])</f>
        <v>1900</v>
      </c>
      <c r="V11" s="2">
        <v>44258</v>
      </c>
      <c r="W11" s="50">
        <f>_xlfn.ISOWEEKNUM(RecetteTransport2[[#This Row],[Date de mesure]])</f>
        <v>9</v>
      </c>
      <c r="X11" s="11">
        <f>YEAR(RecetteTransport2[[#This Row],[Date de mesure]])</f>
        <v>2021</v>
      </c>
      <c r="Y11" s="2">
        <v>44270</v>
      </c>
      <c r="Z11" s="50">
        <f>_xlfn.ISOWEEKNUM(RecetteTransport2[[#This Row],[Date envoie dossier mesure]])</f>
        <v>11</v>
      </c>
      <c r="AA11" s="50">
        <f>YEAR(RecetteTransport2[[#This Row],[Date envoie dossier mesure]])</f>
        <v>2021</v>
      </c>
      <c r="AB11" s="11">
        <v>0</v>
      </c>
      <c r="AC11" s="11">
        <v>0</v>
      </c>
      <c r="AD11" s="50">
        <v>15</v>
      </c>
      <c r="AE11" s="6" t="e">
        <f>RecetteTransport2[[#All],[Nb de reprises Optiques]]/#REF!</f>
        <v>#REF!</v>
      </c>
      <c r="AF11" s="6"/>
    </row>
    <row r="12" spans="1:32" hidden="1" x14ac:dyDescent="0.3">
      <c r="A12" t="s">
        <v>12</v>
      </c>
      <c r="B12" t="s">
        <v>20</v>
      </c>
      <c r="C12" t="s">
        <v>331</v>
      </c>
      <c r="D12" t="s">
        <v>336</v>
      </c>
      <c r="G12" s="11"/>
      <c r="H12" s="11" t="s">
        <v>29</v>
      </c>
      <c r="I12" s="11" t="s">
        <v>29</v>
      </c>
      <c r="J12" s="11">
        <f>RecetteTransport2[[#All],[Fibres TC NOK]]</f>
        <v>0</v>
      </c>
      <c r="K12" s="50">
        <f>RecetteTransport2[[#All],[Valeur Critique]]</f>
        <v>0</v>
      </c>
      <c r="L12" s="50">
        <f>AD:AD</f>
        <v>14</v>
      </c>
      <c r="N12" t="s">
        <v>65</v>
      </c>
      <c r="P12">
        <f xml:space="preserve"> _xlfn.ISOWEEKNUM(RecetteTransport2[[#This Row],[Date validation Optique]])</f>
        <v>52</v>
      </c>
      <c r="Q12">
        <f>YEAR(RecetteTransport2[[#This Row],[Date validation Optique]])</f>
        <v>1900</v>
      </c>
      <c r="T12" s="50">
        <f>_xlfn.ISOWEEKNUM(RecetteTransport2[[#This Row],[Date Achevement  Mécanique]])</f>
        <v>52</v>
      </c>
      <c r="U12" s="50">
        <f>YEAR(RecetteTransport2[[#This Row],[Date Achevement  Mécanique]])</f>
        <v>1900</v>
      </c>
      <c r="V12" s="2">
        <v>44236</v>
      </c>
      <c r="W12" s="50">
        <f>_xlfn.ISOWEEKNUM(RecetteTransport2[[#This Row],[Date de mesure]])</f>
        <v>6</v>
      </c>
      <c r="X12" s="11">
        <f>YEAR(RecetteTransport2[[#This Row],[Date de mesure]])</f>
        <v>2021</v>
      </c>
      <c r="Y12" s="2">
        <v>44270</v>
      </c>
      <c r="Z12" s="50">
        <f>_xlfn.ISOWEEKNUM(RecetteTransport2[[#This Row],[Date envoie dossier mesure]])</f>
        <v>11</v>
      </c>
      <c r="AA12" s="50">
        <f>YEAR(RecetteTransport2[[#This Row],[Date envoie dossier mesure]])</f>
        <v>2021</v>
      </c>
      <c r="AB12" s="11">
        <v>0</v>
      </c>
      <c r="AC12" s="11">
        <v>0</v>
      </c>
      <c r="AD12" s="50">
        <v>14</v>
      </c>
      <c r="AE12" s="6" t="e">
        <f>RecetteTransport2[[#All],[Nb de reprises Optiques]]/#REF!</f>
        <v>#REF!</v>
      </c>
      <c r="AF12" s="6"/>
    </row>
    <row r="13" spans="1:32" hidden="1" x14ac:dyDescent="0.3">
      <c r="A13" t="s">
        <v>12</v>
      </c>
      <c r="B13" t="s">
        <v>20</v>
      </c>
      <c r="C13" t="s">
        <v>331</v>
      </c>
      <c r="D13" t="s">
        <v>337</v>
      </c>
      <c r="G13" s="11"/>
      <c r="H13" s="11" t="s">
        <v>29</v>
      </c>
      <c r="I13" s="11" t="s">
        <v>29</v>
      </c>
      <c r="J13" s="11">
        <f>RecetteTransport2[[#All],[Fibres TC NOK]]</f>
        <v>1</v>
      </c>
      <c r="K13" s="50">
        <f>RecetteTransport2[[#All],[Valeur Critique]]</f>
        <v>0</v>
      </c>
      <c r="L13" s="50">
        <f>AD:AD</f>
        <v>22</v>
      </c>
      <c r="N13" t="s">
        <v>65</v>
      </c>
      <c r="P13">
        <f xml:space="preserve"> _xlfn.ISOWEEKNUM(RecetteTransport2[[#This Row],[Date validation Optique]])</f>
        <v>52</v>
      </c>
      <c r="Q13">
        <f>YEAR(RecetteTransport2[[#This Row],[Date validation Optique]])</f>
        <v>1900</v>
      </c>
      <c r="T13" s="50">
        <f>_xlfn.ISOWEEKNUM(RecetteTransport2[[#This Row],[Date Achevement  Mécanique]])</f>
        <v>52</v>
      </c>
      <c r="U13" s="50">
        <f>YEAR(RecetteTransport2[[#This Row],[Date Achevement  Mécanique]])</f>
        <v>1900</v>
      </c>
      <c r="V13" s="2">
        <v>44236</v>
      </c>
      <c r="W13" s="50">
        <f>_xlfn.ISOWEEKNUM(RecetteTransport2[[#This Row],[Date de mesure]])</f>
        <v>6</v>
      </c>
      <c r="X13" s="11">
        <f>YEAR(RecetteTransport2[[#This Row],[Date de mesure]])</f>
        <v>2021</v>
      </c>
      <c r="Y13" s="2">
        <v>44270</v>
      </c>
      <c r="Z13" s="50">
        <f>_xlfn.ISOWEEKNUM(RecetteTransport2[[#This Row],[Date envoie dossier mesure]])</f>
        <v>11</v>
      </c>
      <c r="AA13" s="50">
        <f>YEAR(RecetteTransport2[[#This Row],[Date envoie dossier mesure]])</f>
        <v>2021</v>
      </c>
      <c r="AB13" s="11">
        <v>1</v>
      </c>
      <c r="AC13" s="11">
        <v>0</v>
      </c>
      <c r="AD13" s="50">
        <v>22</v>
      </c>
      <c r="AE13" s="6" t="e">
        <f>RecetteTransport2[[#All],[Nb de reprises Optiques]]/#REF!</f>
        <v>#REF!</v>
      </c>
      <c r="AF13" s="6"/>
    </row>
    <row r="14" spans="1:32" hidden="1" x14ac:dyDescent="0.3">
      <c r="A14" t="s">
        <v>12</v>
      </c>
      <c r="B14" t="s">
        <v>20</v>
      </c>
      <c r="C14" t="s">
        <v>331</v>
      </c>
      <c r="D14" t="s">
        <v>338</v>
      </c>
      <c r="G14" s="11"/>
      <c r="H14" s="11" t="s">
        <v>29</v>
      </c>
      <c r="I14" s="11" t="s">
        <v>29</v>
      </c>
      <c r="J14" s="11">
        <f>RecetteTransport2[[#All],[Fibres TC NOK]]</f>
        <v>0</v>
      </c>
      <c r="K14" s="50">
        <f>RecetteTransport2[[#All],[Valeur Critique]]</f>
        <v>1</v>
      </c>
      <c r="L14" s="50">
        <f>AD:AD</f>
        <v>17</v>
      </c>
      <c r="N14" t="s">
        <v>65</v>
      </c>
      <c r="P14">
        <f xml:space="preserve"> _xlfn.ISOWEEKNUM(RecetteTransport2[[#This Row],[Date validation Optique]])</f>
        <v>52</v>
      </c>
      <c r="Q14">
        <f>YEAR(RecetteTransport2[[#This Row],[Date validation Optique]])</f>
        <v>1900</v>
      </c>
      <c r="T14" s="50">
        <f>_xlfn.ISOWEEKNUM(RecetteTransport2[[#This Row],[Date Achevement  Mécanique]])</f>
        <v>52</v>
      </c>
      <c r="U14" s="50">
        <f>YEAR(RecetteTransport2[[#This Row],[Date Achevement  Mécanique]])</f>
        <v>1900</v>
      </c>
      <c r="V14" s="2">
        <v>44236</v>
      </c>
      <c r="W14" s="50">
        <f>_xlfn.ISOWEEKNUM(RecetteTransport2[[#This Row],[Date de mesure]])</f>
        <v>6</v>
      </c>
      <c r="X14" s="11">
        <f>YEAR(RecetteTransport2[[#This Row],[Date de mesure]])</f>
        <v>2021</v>
      </c>
      <c r="Z14" s="50">
        <f>_xlfn.ISOWEEKNUM(RecetteTransport2[[#This Row],[Date envoie dossier mesure]])</f>
        <v>52</v>
      </c>
      <c r="AA14" s="50">
        <f>YEAR(RecetteTransport2[[#This Row],[Date envoie dossier mesure]])</f>
        <v>1900</v>
      </c>
      <c r="AB14" s="11">
        <v>0</v>
      </c>
      <c r="AC14" s="11">
        <v>1</v>
      </c>
      <c r="AD14" s="50">
        <v>17</v>
      </c>
      <c r="AE14" s="6" t="e">
        <f>RecetteTransport2[[#All],[Nb de reprises Optiques]]/#REF!</f>
        <v>#REF!</v>
      </c>
      <c r="AF14" s="6"/>
    </row>
    <row r="15" spans="1:32" x14ac:dyDescent="0.3">
      <c r="A15" t="s">
        <v>12</v>
      </c>
      <c r="B15" t="s">
        <v>20</v>
      </c>
      <c r="C15" t="s">
        <v>331</v>
      </c>
      <c r="D15" t="s">
        <v>339</v>
      </c>
      <c r="G15" s="11"/>
      <c r="H15" s="11"/>
      <c r="I15" s="11"/>
      <c r="J15" s="11">
        <f>RecetteTransport2[[#All],[Fibres TC NOK]]</f>
        <v>0</v>
      </c>
      <c r="K15" s="50">
        <f>RecetteTransport2[[#All],[Valeur Critique]]</f>
        <v>0</v>
      </c>
      <c r="L15" s="50">
        <f>AD:AD</f>
        <v>0</v>
      </c>
      <c r="P15">
        <f xml:space="preserve"> _xlfn.ISOWEEKNUM(RecetteTransport2[[#This Row],[Date validation Optique]])</f>
        <v>52</v>
      </c>
      <c r="Q15">
        <f>YEAR(RecetteTransport2[[#This Row],[Date validation Optique]])</f>
        <v>1900</v>
      </c>
      <c r="T15" s="50">
        <f>_xlfn.ISOWEEKNUM(RecetteTransport2[[#This Row],[Date Achevement  Mécanique]])</f>
        <v>52</v>
      </c>
      <c r="U15" s="50">
        <f>YEAR(RecetteTransport2[[#This Row],[Date Achevement  Mécanique]])</f>
        <v>1900</v>
      </c>
      <c r="V15" s="2"/>
      <c r="W15" s="50">
        <f>_xlfn.ISOWEEKNUM(RecetteTransport2[[#This Row],[Date de mesure]])</f>
        <v>52</v>
      </c>
      <c r="X15" s="11">
        <f>YEAR(RecetteTransport2[[#This Row],[Date de mesure]])</f>
        <v>1900</v>
      </c>
      <c r="Z15" s="50">
        <f>_xlfn.ISOWEEKNUM(RecetteTransport2[[#This Row],[Date envoie dossier mesure]])</f>
        <v>52</v>
      </c>
      <c r="AA15" s="50">
        <f>YEAR(RecetteTransport2[[#This Row],[Date envoie dossier mesure]])</f>
        <v>1900</v>
      </c>
      <c r="AB15" s="11"/>
      <c r="AC15" s="11"/>
      <c r="AE15" s="6" t="e">
        <f>RecetteTransport2[[#All],[Nb de reprises Optiques]]/#REF!</f>
        <v>#REF!</v>
      </c>
      <c r="AF15" s="6"/>
    </row>
    <row r="16" spans="1:32" x14ac:dyDescent="0.3">
      <c r="A16" t="s">
        <v>12</v>
      </c>
      <c r="B16" t="s">
        <v>20</v>
      </c>
      <c r="C16" t="s">
        <v>331</v>
      </c>
      <c r="D16" t="s">
        <v>340</v>
      </c>
      <c r="G16" s="11"/>
      <c r="H16" s="11"/>
      <c r="I16" s="11"/>
      <c r="J16" s="11">
        <f>RecetteTransport2[[#All],[Fibres TC NOK]]</f>
        <v>0</v>
      </c>
      <c r="K16" s="50">
        <f>RecetteTransport2[[#All],[Valeur Critique]]</f>
        <v>0</v>
      </c>
      <c r="L16" s="50">
        <f t="shared" ref="L16:L18" si="0">AD:AD</f>
        <v>0</v>
      </c>
      <c r="N16" t="s">
        <v>65</v>
      </c>
      <c r="P16">
        <f xml:space="preserve"> _xlfn.ISOWEEKNUM(RecetteTransport2[[#This Row],[Date validation Optique]])</f>
        <v>52</v>
      </c>
      <c r="Q16">
        <f>YEAR(RecetteTransport2[[#This Row],[Date validation Optique]])</f>
        <v>1900</v>
      </c>
      <c r="T16" s="50">
        <f>_xlfn.ISOWEEKNUM(RecetteTransport2[[#This Row],[Date Achevement  Mécanique]])</f>
        <v>52</v>
      </c>
      <c r="U16" s="50">
        <f>YEAR(RecetteTransport2[[#This Row],[Date Achevement  Mécanique]])</f>
        <v>1900</v>
      </c>
      <c r="V16" s="2">
        <v>44258</v>
      </c>
      <c r="W16" s="50">
        <f>_xlfn.ISOWEEKNUM(RecetteTransport2[[#This Row],[Date de mesure]])</f>
        <v>9</v>
      </c>
      <c r="X16" s="11">
        <f>YEAR(RecetteTransport2[[#This Row],[Date de mesure]])</f>
        <v>2021</v>
      </c>
      <c r="Z16" s="50">
        <f>_xlfn.ISOWEEKNUM(RecetteTransport2[[#This Row],[Date envoie dossier mesure]])</f>
        <v>52</v>
      </c>
      <c r="AA16" s="50">
        <f>YEAR(RecetteTransport2[[#This Row],[Date envoie dossier mesure]])</f>
        <v>1900</v>
      </c>
      <c r="AB16" s="11"/>
      <c r="AC16" s="11"/>
      <c r="AE16" s="6" t="e">
        <f>RecetteTransport2[[#All],[Nb de reprises Optiques]]/#REF!</f>
        <v>#REF!</v>
      </c>
      <c r="AF16" s="6"/>
    </row>
    <row r="17" spans="1:32" x14ac:dyDescent="0.3">
      <c r="A17" t="s">
        <v>12</v>
      </c>
      <c r="D17" t="s">
        <v>448</v>
      </c>
      <c r="G17" s="11"/>
      <c r="H17" s="11"/>
      <c r="I17" s="11"/>
      <c r="J17" s="11">
        <f>RecetteTransport2[[#All],[Fibres TC NOK]]</f>
        <v>0</v>
      </c>
      <c r="K17" s="50">
        <f>RecetteTransport2[[#All],[Valeur Critique]]</f>
        <v>0</v>
      </c>
      <c r="L17" s="50">
        <f t="shared" si="0"/>
        <v>0</v>
      </c>
      <c r="P17" s="11">
        <f xml:space="preserve"> _xlfn.ISOWEEKNUM(RecetteTransport2[[#This Row],[Date validation Optique]])</f>
        <v>52</v>
      </c>
      <c r="Q17" s="11">
        <f>YEAR(RecetteTransport2[[#This Row],[Date validation Optique]])</f>
        <v>1900</v>
      </c>
      <c r="S17" s="47" t="e">
        <f>#REF!+10</f>
        <v>#REF!</v>
      </c>
      <c r="T17" s="50" t="e">
        <f>_xlfn.ISOWEEKNUM(RecetteTransport2[[#This Row],[Date Achevement  Mécanique]])</f>
        <v>#REF!</v>
      </c>
      <c r="U17" s="50" t="e">
        <f>YEAR(RecetteTransport2[[#This Row],[Date Achevement  Mécanique]])</f>
        <v>#REF!</v>
      </c>
      <c r="V17" s="47"/>
      <c r="W17" s="50">
        <f>_xlfn.ISOWEEKNUM(RecetteTransport2[[#This Row],[Date de mesure]])</f>
        <v>52</v>
      </c>
      <c r="X17" s="11">
        <f>YEAR(RecetteTransport2[[#This Row],[Date de mesure]])</f>
        <v>1900</v>
      </c>
      <c r="Y17" s="47"/>
      <c r="Z17" s="50">
        <f>_xlfn.ISOWEEKNUM(RecetteTransport2[[#This Row],[Date envoie dossier mesure]])</f>
        <v>52</v>
      </c>
      <c r="AA17" s="50">
        <f>YEAR(RecetteTransport2[[#This Row],[Date envoie dossier mesure]])</f>
        <v>1900</v>
      </c>
      <c r="AB17" s="11"/>
      <c r="AC17" s="11"/>
      <c r="AE17" s="6" t="e">
        <f>RecetteTransport2[[#All],[Nb de reprises Optiques]]/#REF!</f>
        <v>#REF!</v>
      </c>
      <c r="AF17" s="6"/>
    </row>
    <row r="18" spans="1:32" x14ac:dyDescent="0.3">
      <c r="A18" t="s">
        <v>12</v>
      </c>
      <c r="D18" t="s">
        <v>449</v>
      </c>
      <c r="G18" s="11"/>
      <c r="H18" s="11"/>
      <c r="I18" s="11"/>
      <c r="J18" s="11">
        <f>RecetteTransport2[[#All],[Fibres TC NOK]]</f>
        <v>0</v>
      </c>
      <c r="K18" s="50">
        <f>RecetteTransport2[[#All],[Valeur Critique]]</f>
        <v>0</v>
      </c>
      <c r="L18" s="50">
        <f t="shared" si="0"/>
        <v>0</v>
      </c>
      <c r="P18" s="11">
        <f xml:space="preserve"> _xlfn.ISOWEEKNUM(RecetteTransport2[[#This Row],[Date validation Optique]])</f>
        <v>52</v>
      </c>
      <c r="Q18" s="11">
        <f>YEAR(RecetteTransport2[[#This Row],[Date validation Optique]])</f>
        <v>1900</v>
      </c>
      <c r="S18" s="47" t="e">
        <f>#REF!+10</f>
        <v>#REF!</v>
      </c>
      <c r="T18" s="50" t="e">
        <f>_xlfn.ISOWEEKNUM(RecetteTransport2[[#This Row],[Date Achevement  Mécanique]])</f>
        <v>#REF!</v>
      </c>
      <c r="U18" s="50" t="e">
        <f>YEAR(RecetteTransport2[[#This Row],[Date Achevement  Mécanique]])</f>
        <v>#REF!</v>
      </c>
      <c r="V18" s="47"/>
      <c r="W18" s="50">
        <f>_xlfn.ISOWEEKNUM(RecetteTransport2[[#This Row],[Date de mesure]])</f>
        <v>52</v>
      </c>
      <c r="X18" s="11">
        <f>YEAR(RecetteTransport2[[#This Row],[Date de mesure]])</f>
        <v>1900</v>
      </c>
      <c r="Y18" s="47"/>
      <c r="Z18" s="50">
        <f>_xlfn.ISOWEEKNUM(RecetteTransport2[[#This Row],[Date envoie dossier mesure]])</f>
        <v>52</v>
      </c>
      <c r="AA18" s="50">
        <f>YEAR(RecetteTransport2[[#This Row],[Date envoie dossier mesure]])</f>
        <v>1900</v>
      </c>
      <c r="AB18" s="11"/>
      <c r="AC18" s="11"/>
      <c r="AE18" s="6" t="e">
        <f>RecetteTransport2[[#All],[Nb de reprises Optiques]]/#REF!</f>
        <v>#REF!</v>
      </c>
      <c r="AF18" s="6"/>
    </row>
    <row r="19" spans="1:32" hidden="1" x14ac:dyDescent="0.3">
      <c r="A19" t="s">
        <v>12</v>
      </c>
      <c r="B19" t="s">
        <v>19</v>
      </c>
      <c r="C19" t="s">
        <v>42</v>
      </c>
      <c r="D19" t="s">
        <v>22</v>
      </c>
      <c r="F19" t="s">
        <v>49</v>
      </c>
      <c r="G19" s="11" t="s">
        <v>29</v>
      </c>
      <c r="H19" s="11" t="s">
        <v>29</v>
      </c>
      <c r="I19" s="11" t="s">
        <v>29</v>
      </c>
      <c r="J19" s="11">
        <f>RecetteTransport2[[#All],[Fibres TC NOK]]</f>
        <v>0</v>
      </c>
      <c r="K19" s="50">
        <f>RecetteTransport2[[#All],[Valeur Critique]]</f>
        <v>0</v>
      </c>
      <c r="L19" s="50">
        <v>0</v>
      </c>
      <c r="M19" s="50">
        <v>0</v>
      </c>
      <c r="N19" t="s">
        <v>389</v>
      </c>
      <c r="O19" s="2">
        <v>44230</v>
      </c>
      <c r="P19">
        <f xml:space="preserve"> _xlfn.ISOWEEKNUM(RecetteTransport2[[#This Row],[Date validation Optique]])</f>
        <v>5</v>
      </c>
      <c r="Q19">
        <f>YEAR(RecetteTransport2[[#This Row],[Date validation Optique]])</f>
        <v>2021</v>
      </c>
      <c r="R19" t="s">
        <v>65</v>
      </c>
      <c r="S19" s="2">
        <v>44230</v>
      </c>
      <c r="T19" s="50">
        <f>_xlfn.ISOWEEKNUM(RecetteTransport2[[#This Row],[Date Achevement  Mécanique]])</f>
        <v>5</v>
      </c>
      <c r="U19" s="50">
        <f>YEAR(RecetteTransport2[[#This Row],[Date Achevement  Mécanique]])</f>
        <v>2021</v>
      </c>
      <c r="V19" s="2">
        <v>43949</v>
      </c>
      <c r="W19" s="50">
        <f>_xlfn.ISOWEEKNUM(RecetteTransport2[[#This Row],[Date de mesure]])</f>
        <v>18</v>
      </c>
      <c r="X19" s="11">
        <f>YEAR(RecetteTransport2[[#This Row],[Date de mesure]])</f>
        <v>2020</v>
      </c>
      <c r="Y19" s="2">
        <v>44207</v>
      </c>
      <c r="Z19" s="50">
        <f>_xlfn.ISOWEEKNUM(RecetteTransport2[[#This Row],[Date envoie dossier mesure]])</f>
        <v>2</v>
      </c>
      <c r="AA19" s="50">
        <f>YEAR(RecetteTransport2[[#This Row],[Date envoie dossier mesure]])</f>
        <v>2021</v>
      </c>
      <c r="AB19" s="11">
        <v>0</v>
      </c>
      <c r="AC19" s="11">
        <v>0</v>
      </c>
      <c r="AD19" s="50">
        <v>2</v>
      </c>
      <c r="AE19" s="6" t="e">
        <f>RecetteTransport2[[#All],[Nb de reprises Optiques]]/#REF!</f>
        <v>#REF!</v>
      </c>
      <c r="AF19" s="2">
        <v>44215</v>
      </c>
    </row>
    <row r="20" spans="1:32" hidden="1" x14ac:dyDescent="0.3">
      <c r="A20" t="s">
        <v>12</v>
      </c>
      <c r="B20" t="s">
        <v>19</v>
      </c>
      <c r="C20" t="s">
        <v>42</v>
      </c>
      <c r="D20" t="s">
        <v>47</v>
      </c>
      <c r="F20" t="s">
        <v>49</v>
      </c>
      <c r="G20" s="11" t="s">
        <v>29</v>
      </c>
      <c r="H20" s="11" t="s">
        <v>29</v>
      </c>
      <c r="I20" s="11" t="s">
        <v>29</v>
      </c>
      <c r="J20" s="11">
        <f>RecetteTransport2[[#All],[Fibres TC NOK]]</f>
        <v>0</v>
      </c>
      <c r="K20" s="50">
        <f>RecetteTransport2[[#All],[Valeur Critique]]</f>
        <v>0</v>
      </c>
      <c r="L20" s="50">
        <v>0</v>
      </c>
      <c r="M20" s="50">
        <v>0</v>
      </c>
      <c r="N20" t="s">
        <v>389</v>
      </c>
      <c r="O20" s="2">
        <v>44230</v>
      </c>
      <c r="P20">
        <f xml:space="preserve"> _xlfn.ISOWEEKNUM(RecetteTransport2[[#This Row],[Date validation Optique]])</f>
        <v>5</v>
      </c>
      <c r="Q20">
        <f>YEAR(RecetteTransport2[[#This Row],[Date validation Optique]])</f>
        <v>2021</v>
      </c>
      <c r="R20" t="s">
        <v>65</v>
      </c>
      <c r="S20" s="2">
        <v>44230</v>
      </c>
      <c r="T20" s="50">
        <f>_xlfn.ISOWEEKNUM(RecetteTransport2[[#This Row],[Date Achevement  Mécanique]])</f>
        <v>5</v>
      </c>
      <c r="U20" s="50">
        <f>YEAR(RecetteTransport2[[#This Row],[Date Achevement  Mécanique]])</f>
        <v>2021</v>
      </c>
      <c r="V20" s="2">
        <v>43949</v>
      </c>
      <c r="W20" s="50">
        <f>_xlfn.ISOWEEKNUM(RecetteTransport2[[#This Row],[Date de mesure]])</f>
        <v>18</v>
      </c>
      <c r="X20" s="11">
        <f>YEAR(RecetteTransport2[[#This Row],[Date de mesure]])</f>
        <v>2020</v>
      </c>
      <c r="Y20" s="2">
        <v>44035</v>
      </c>
      <c r="Z20" s="50">
        <f>_xlfn.ISOWEEKNUM(RecetteTransport2[[#This Row],[Date envoie dossier mesure]])</f>
        <v>30</v>
      </c>
      <c r="AA20" s="50">
        <f>YEAR(RecetteTransport2[[#This Row],[Date envoie dossier mesure]])</f>
        <v>2020</v>
      </c>
      <c r="AB20" s="11">
        <v>0</v>
      </c>
      <c r="AC20" s="11">
        <v>0</v>
      </c>
      <c r="AD20" s="50">
        <v>47</v>
      </c>
      <c r="AE20" s="6" t="e">
        <f>RecetteTransport2[[#All],[Nb de reprises Optiques]]/#REF!</f>
        <v>#REF!</v>
      </c>
      <c r="AF20" s="2">
        <v>44215</v>
      </c>
    </row>
    <row r="21" spans="1:32" hidden="1" x14ac:dyDescent="0.3">
      <c r="A21" t="s">
        <v>12</v>
      </c>
      <c r="B21" t="s">
        <v>19</v>
      </c>
      <c r="C21" t="s">
        <v>42</v>
      </c>
      <c r="D21" t="s">
        <v>82</v>
      </c>
      <c r="F21" t="s">
        <v>49</v>
      </c>
      <c r="G21" s="11" t="s">
        <v>29</v>
      </c>
      <c r="H21" s="11" t="s">
        <v>29</v>
      </c>
      <c r="I21" s="11" t="s">
        <v>29</v>
      </c>
      <c r="J21" s="11">
        <f>RecetteTransport2[[#All],[Fibres TC NOK]]</f>
        <v>0</v>
      </c>
      <c r="K21" s="50">
        <f>RecetteTransport2[[#All],[Valeur Critique]]</f>
        <v>0</v>
      </c>
      <c r="L21" s="50">
        <v>0</v>
      </c>
      <c r="M21" s="50">
        <v>0</v>
      </c>
      <c r="N21" t="s">
        <v>389</v>
      </c>
      <c r="O21" s="2">
        <v>44230</v>
      </c>
      <c r="P21">
        <f xml:space="preserve"> _xlfn.ISOWEEKNUM(RecetteTransport2[[#This Row],[Date validation Optique]])</f>
        <v>5</v>
      </c>
      <c r="Q21">
        <f>YEAR(RecetteTransport2[[#This Row],[Date validation Optique]])</f>
        <v>2021</v>
      </c>
      <c r="R21" t="s">
        <v>65</v>
      </c>
      <c r="S21" s="2">
        <v>44230</v>
      </c>
      <c r="T21" s="50">
        <f>_xlfn.ISOWEEKNUM(RecetteTransport2[[#This Row],[Date Achevement  Mécanique]])</f>
        <v>5</v>
      </c>
      <c r="U21" s="50">
        <f>YEAR(RecetteTransport2[[#This Row],[Date Achevement  Mécanique]])</f>
        <v>2021</v>
      </c>
      <c r="V21" s="2">
        <v>43949</v>
      </c>
      <c r="W21" s="50">
        <f>_xlfn.ISOWEEKNUM(RecetteTransport2[[#This Row],[Date de mesure]])</f>
        <v>18</v>
      </c>
      <c r="X21" s="11">
        <f>YEAR(RecetteTransport2[[#This Row],[Date de mesure]])</f>
        <v>2020</v>
      </c>
      <c r="Y21" s="2">
        <v>44035</v>
      </c>
      <c r="Z21" s="50">
        <f>_xlfn.ISOWEEKNUM(RecetteTransport2[[#This Row],[Date envoie dossier mesure]])</f>
        <v>30</v>
      </c>
      <c r="AA21" s="50">
        <f>YEAR(RecetteTransport2[[#This Row],[Date envoie dossier mesure]])</f>
        <v>2020</v>
      </c>
      <c r="AB21" s="11">
        <v>0</v>
      </c>
      <c r="AC21" s="11">
        <v>0</v>
      </c>
      <c r="AD21" s="50">
        <v>45</v>
      </c>
      <c r="AE21" s="6" t="e">
        <f>RecetteTransport2[[#All],[Nb de reprises Optiques]]/#REF!</f>
        <v>#REF!</v>
      </c>
      <c r="AF21" s="2">
        <v>44215</v>
      </c>
    </row>
    <row r="22" spans="1:32" hidden="1" x14ac:dyDescent="0.3">
      <c r="A22" t="s">
        <v>12</v>
      </c>
      <c r="B22" t="s">
        <v>19</v>
      </c>
      <c r="C22" t="s">
        <v>42</v>
      </c>
      <c r="D22" t="s">
        <v>59</v>
      </c>
      <c r="F22" t="s">
        <v>49</v>
      </c>
      <c r="G22" s="11" t="s">
        <v>29</v>
      </c>
      <c r="H22" s="11" t="s">
        <v>29</v>
      </c>
      <c r="I22" s="11" t="s">
        <v>29</v>
      </c>
      <c r="J22" s="11">
        <f>RecetteTransport2[[#All],[Fibres TC NOK]]</f>
        <v>0</v>
      </c>
      <c r="K22" s="50">
        <f>RecetteTransport2[[#All],[Valeur Critique]]</f>
        <v>0</v>
      </c>
      <c r="L22" s="50">
        <v>0</v>
      </c>
      <c r="M22" s="50">
        <v>0</v>
      </c>
      <c r="N22" t="s">
        <v>389</v>
      </c>
      <c r="O22" s="2">
        <v>44230</v>
      </c>
      <c r="P22">
        <f xml:space="preserve"> _xlfn.ISOWEEKNUM(RecetteTransport2[[#This Row],[Date validation Optique]])</f>
        <v>5</v>
      </c>
      <c r="Q22">
        <f>YEAR(RecetteTransport2[[#This Row],[Date validation Optique]])</f>
        <v>2021</v>
      </c>
      <c r="R22" t="s">
        <v>65</v>
      </c>
      <c r="S22" s="2">
        <v>44230</v>
      </c>
      <c r="T22" s="50">
        <f>_xlfn.ISOWEEKNUM(RecetteTransport2[[#This Row],[Date Achevement  Mécanique]])</f>
        <v>5</v>
      </c>
      <c r="U22" s="50">
        <f>YEAR(RecetteTransport2[[#This Row],[Date Achevement  Mécanique]])</f>
        <v>2021</v>
      </c>
      <c r="V22" s="2">
        <v>43949</v>
      </c>
      <c r="W22" s="50">
        <f>_xlfn.ISOWEEKNUM(RecetteTransport2[[#This Row],[Date de mesure]])</f>
        <v>18</v>
      </c>
      <c r="X22" s="11">
        <f>YEAR(RecetteTransport2[[#This Row],[Date de mesure]])</f>
        <v>2020</v>
      </c>
      <c r="Y22" s="2">
        <v>44035</v>
      </c>
      <c r="Z22" s="50">
        <f>_xlfn.ISOWEEKNUM(RecetteTransport2[[#This Row],[Date envoie dossier mesure]])</f>
        <v>30</v>
      </c>
      <c r="AA22" s="50">
        <f>YEAR(RecetteTransport2[[#This Row],[Date envoie dossier mesure]])</f>
        <v>2020</v>
      </c>
      <c r="AB22" s="11">
        <v>0</v>
      </c>
      <c r="AC22" s="11">
        <v>0</v>
      </c>
      <c r="AD22" s="50">
        <v>159</v>
      </c>
      <c r="AE22" s="6" t="e">
        <f>RecetteTransport2[[#All],[Nb de reprises Optiques]]/#REF!</f>
        <v>#REF!</v>
      </c>
      <c r="AF22" s="2">
        <v>44215</v>
      </c>
    </row>
    <row r="23" spans="1:32" hidden="1" x14ac:dyDescent="0.3">
      <c r="A23" t="s">
        <v>12</v>
      </c>
      <c r="B23" t="s">
        <v>19</v>
      </c>
      <c r="C23" t="s">
        <v>42</v>
      </c>
      <c r="D23" t="s">
        <v>62</v>
      </c>
      <c r="F23" t="s">
        <v>49</v>
      </c>
      <c r="G23" s="11" t="s">
        <v>29</v>
      </c>
      <c r="H23" s="11" t="s">
        <v>29</v>
      </c>
      <c r="I23" s="11" t="s">
        <v>29</v>
      </c>
      <c r="J23" s="11">
        <f>RecetteTransport2[[#All],[Fibres TC NOK]]</f>
        <v>0</v>
      </c>
      <c r="K23" s="50">
        <f>RecetteTransport2[[#All],[Valeur Critique]]</f>
        <v>0</v>
      </c>
      <c r="L23" s="50">
        <v>0</v>
      </c>
      <c r="M23" s="50">
        <v>0</v>
      </c>
      <c r="N23" t="s">
        <v>389</v>
      </c>
      <c r="O23" s="2">
        <v>44230</v>
      </c>
      <c r="P23">
        <f xml:space="preserve"> _xlfn.ISOWEEKNUM(RecetteTransport2[[#This Row],[Date validation Optique]])</f>
        <v>5</v>
      </c>
      <c r="Q23">
        <f>YEAR(RecetteTransport2[[#This Row],[Date validation Optique]])</f>
        <v>2021</v>
      </c>
      <c r="R23" t="s">
        <v>65</v>
      </c>
      <c r="S23" s="2">
        <v>44230</v>
      </c>
      <c r="T23" s="50">
        <f>_xlfn.ISOWEEKNUM(RecetteTransport2[[#This Row],[Date Achevement  Mécanique]])</f>
        <v>5</v>
      </c>
      <c r="U23" s="50">
        <f>YEAR(RecetteTransport2[[#This Row],[Date Achevement  Mécanique]])</f>
        <v>2021</v>
      </c>
      <c r="V23" s="2">
        <v>43949</v>
      </c>
      <c r="W23" s="50">
        <f>_xlfn.ISOWEEKNUM(RecetteTransport2[[#This Row],[Date de mesure]])</f>
        <v>18</v>
      </c>
      <c r="X23" s="11">
        <f>YEAR(RecetteTransport2[[#This Row],[Date de mesure]])</f>
        <v>2020</v>
      </c>
      <c r="Y23" s="2">
        <v>44035</v>
      </c>
      <c r="Z23" s="50">
        <f>_xlfn.ISOWEEKNUM(RecetteTransport2[[#This Row],[Date envoie dossier mesure]])</f>
        <v>30</v>
      </c>
      <c r="AA23" s="50">
        <f>YEAR(RecetteTransport2[[#This Row],[Date envoie dossier mesure]])</f>
        <v>2020</v>
      </c>
      <c r="AB23" s="11">
        <v>0</v>
      </c>
      <c r="AC23" s="11">
        <v>0</v>
      </c>
      <c r="AD23" s="50">
        <v>9</v>
      </c>
      <c r="AE23" s="6" t="e">
        <f>RecetteTransport2[[#All],[Nb de reprises Optiques]]/#REF!</f>
        <v>#REF!</v>
      </c>
      <c r="AF23" s="2">
        <v>44215</v>
      </c>
    </row>
    <row r="24" spans="1:32" hidden="1" x14ac:dyDescent="0.3">
      <c r="A24" t="s">
        <v>12</v>
      </c>
      <c r="B24" t="s">
        <v>19</v>
      </c>
      <c r="C24" t="s">
        <v>42</v>
      </c>
      <c r="D24" t="s">
        <v>91</v>
      </c>
      <c r="F24" t="s">
        <v>49</v>
      </c>
      <c r="G24" s="11" t="s">
        <v>29</v>
      </c>
      <c r="H24" s="11" t="s">
        <v>29</v>
      </c>
      <c r="I24" s="11" t="s">
        <v>29</v>
      </c>
      <c r="J24" s="11">
        <f>RecetteTransport2[[#All],[Fibres TC NOK]]</f>
        <v>0</v>
      </c>
      <c r="K24" s="50">
        <v>0</v>
      </c>
      <c r="L24" s="50">
        <v>0</v>
      </c>
      <c r="M24" s="50">
        <v>0</v>
      </c>
      <c r="N24" t="s">
        <v>389</v>
      </c>
      <c r="O24" s="2">
        <v>44230</v>
      </c>
      <c r="P24">
        <f xml:space="preserve"> _xlfn.ISOWEEKNUM(RecetteTransport2[[#This Row],[Date validation Optique]])</f>
        <v>5</v>
      </c>
      <c r="Q24">
        <f>YEAR(RecetteTransport2[[#This Row],[Date validation Optique]])</f>
        <v>2021</v>
      </c>
      <c r="R24" t="s">
        <v>65</v>
      </c>
      <c r="S24" s="2">
        <v>44230</v>
      </c>
      <c r="T24" s="50">
        <f>_xlfn.ISOWEEKNUM(RecetteTransport2[[#This Row],[Date Achevement  Mécanique]])</f>
        <v>5</v>
      </c>
      <c r="U24" s="50">
        <f>YEAR(RecetteTransport2[[#This Row],[Date Achevement  Mécanique]])</f>
        <v>2021</v>
      </c>
      <c r="V24" s="2">
        <v>43949</v>
      </c>
      <c r="W24" s="50">
        <f>_xlfn.ISOWEEKNUM(RecetteTransport2[[#This Row],[Date de mesure]])</f>
        <v>18</v>
      </c>
      <c r="X24" s="11">
        <f>YEAR(RecetteTransport2[[#This Row],[Date de mesure]])</f>
        <v>2020</v>
      </c>
      <c r="Y24" s="2">
        <v>44036</v>
      </c>
      <c r="Z24" s="50">
        <f>_xlfn.ISOWEEKNUM(RecetteTransport2[[#This Row],[Date envoie dossier mesure]])</f>
        <v>30</v>
      </c>
      <c r="AA24" s="50">
        <f>YEAR(RecetteTransport2[[#This Row],[Date envoie dossier mesure]])</f>
        <v>2020</v>
      </c>
      <c r="AB24" s="11">
        <v>0</v>
      </c>
      <c r="AC24" s="11">
        <v>3</v>
      </c>
      <c r="AD24" s="50">
        <v>39</v>
      </c>
      <c r="AE24" s="6" t="e">
        <f>RecetteTransport2[[#All],[Nb de reprises Optiques]]/#REF!</f>
        <v>#REF!</v>
      </c>
      <c r="AF24" s="2">
        <v>44215</v>
      </c>
    </row>
    <row r="25" spans="1:32" hidden="1" x14ac:dyDescent="0.3">
      <c r="A25" t="s">
        <v>12</v>
      </c>
      <c r="B25" t="s">
        <v>19</v>
      </c>
      <c r="C25" t="s">
        <v>42</v>
      </c>
      <c r="D25" t="s">
        <v>113</v>
      </c>
      <c r="F25" t="s">
        <v>49</v>
      </c>
      <c r="G25" s="11" t="s">
        <v>29</v>
      </c>
      <c r="H25" s="11" t="s">
        <v>29</v>
      </c>
      <c r="I25" s="11" t="s">
        <v>29</v>
      </c>
      <c r="J25" s="11">
        <f>RecetteTransport2[[#All],[Fibres TC NOK]]</f>
        <v>0</v>
      </c>
      <c r="K25" s="50">
        <v>0</v>
      </c>
      <c r="L25" s="50">
        <v>0</v>
      </c>
      <c r="N25" t="s">
        <v>389</v>
      </c>
      <c r="O25" s="2">
        <v>44230</v>
      </c>
      <c r="P25">
        <f xml:space="preserve"> _xlfn.ISOWEEKNUM(RecetteTransport2[[#This Row],[Date validation Optique]])</f>
        <v>5</v>
      </c>
      <c r="Q25">
        <f>YEAR(RecetteTransport2[[#This Row],[Date validation Optique]])</f>
        <v>2021</v>
      </c>
      <c r="R25" t="s">
        <v>65</v>
      </c>
      <c r="S25" s="2">
        <v>44230</v>
      </c>
      <c r="T25" s="50">
        <f>_xlfn.ISOWEEKNUM(RecetteTransport2[[#This Row],[Date Achevement  Mécanique]])</f>
        <v>5</v>
      </c>
      <c r="U25" s="50">
        <f>YEAR(RecetteTransport2[[#This Row],[Date Achevement  Mécanique]])</f>
        <v>2021</v>
      </c>
      <c r="V25" s="2"/>
      <c r="W25" s="50">
        <f>_xlfn.ISOWEEKNUM(RecetteTransport2[[#This Row],[Date de mesure]])</f>
        <v>52</v>
      </c>
      <c r="X25" s="11">
        <f>YEAR(RecetteTransport2[[#This Row],[Date de mesure]])</f>
        <v>1900</v>
      </c>
      <c r="Y25" s="2">
        <v>44160</v>
      </c>
      <c r="Z25" s="50">
        <f>_xlfn.ISOWEEKNUM(RecetteTransport2[[#This Row],[Date envoie dossier mesure]])</f>
        <v>48</v>
      </c>
      <c r="AA25" s="50">
        <f>YEAR(RecetteTransport2[[#This Row],[Date envoie dossier mesure]])</f>
        <v>2020</v>
      </c>
      <c r="AB25" s="11"/>
      <c r="AC25" s="11">
        <v>21</v>
      </c>
      <c r="AD25" s="50">
        <v>54</v>
      </c>
      <c r="AE25" s="6" t="e">
        <f>RecetteTransport2[[#All],[Nb de reprises Optiques]]/#REF!</f>
        <v>#REF!</v>
      </c>
      <c r="AF25" s="2">
        <v>44215</v>
      </c>
    </row>
    <row r="26" spans="1:32" hidden="1" x14ac:dyDescent="0.3">
      <c r="A26" t="s">
        <v>422</v>
      </c>
      <c r="B26" t="s">
        <v>19</v>
      </c>
      <c r="C26" t="s">
        <v>42</v>
      </c>
      <c r="D26" t="s">
        <v>423</v>
      </c>
      <c r="G26" s="11" t="s">
        <v>29</v>
      </c>
      <c r="H26" s="11" t="s">
        <v>29</v>
      </c>
      <c r="I26" s="11" t="s">
        <v>29</v>
      </c>
      <c r="J26" s="11">
        <f>RecetteTransport2[[#All],[Fibres TC NOK]]</f>
        <v>4</v>
      </c>
      <c r="K26" s="50">
        <f>RecetteTransport2[[#All],[Valeur Critique]]</f>
        <v>1</v>
      </c>
      <c r="L26" s="50">
        <f>AD:AD</f>
        <v>147</v>
      </c>
      <c r="N26" t="s">
        <v>65</v>
      </c>
      <c r="P26" s="11">
        <f xml:space="preserve"> _xlfn.ISOWEEKNUM(RecetteTransport2[[#This Row],[Date validation Optique]])</f>
        <v>52</v>
      </c>
      <c r="Q26" s="11">
        <f>YEAR(RecetteTransport2[[#This Row],[Date validation Optique]])</f>
        <v>1900</v>
      </c>
      <c r="R26" t="s">
        <v>65</v>
      </c>
      <c r="S26" s="2">
        <v>44265</v>
      </c>
      <c r="T26" s="50">
        <f>_xlfn.ISOWEEKNUM(RecetteTransport2[[#This Row],[Date Achevement  Mécanique]])</f>
        <v>10</v>
      </c>
      <c r="U26" s="50">
        <f>YEAR(RecetteTransport2[[#This Row],[Date Achevement  Mécanique]])</f>
        <v>2021</v>
      </c>
      <c r="V26" s="2">
        <v>44267</v>
      </c>
      <c r="W26" s="50">
        <f>_xlfn.ISOWEEKNUM(RecetteTransport2[[#This Row],[Date de mesure]])</f>
        <v>10</v>
      </c>
      <c r="X26" s="11">
        <f>YEAR(RecetteTransport2[[#This Row],[Date de mesure]])</f>
        <v>2021</v>
      </c>
      <c r="Y26" s="2">
        <v>44270</v>
      </c>
      <c r="Z26" s="50">
        <f>_xlfn.ISOWEEKNUM(RecetteTransport2[[#This Row],[Date envoie dossier mesure]])</f>
        <v>11</v>
      </c>
      <c r="AA26" s="50">
        <f>YEAR(RecetteTransport2[[#This Row],[Date envoie dossier mesure]])</f>
        <v>2021</v>
      </c>
      <c r="AB26" s="11">
        <v>4</v>
      </c>
      <c r="AC26" s="11">
        <v>1</v>
      </c>
      <c r="AD26" s="50">
        <v>147</v>
      </c>
      <c r="AE26" s="6" t="e">
        <f>RecetteTransport2[[#All],[Nb de reprises Optiques]]/#REF!</f>
        <v>#REF!</v>
      </c>
      <c r="AF26" s="6"/>
    </row>
    <row r="27" spans="1:32" hidden="1" x14ac:dyDescent="0.3">
      <c r="A27" t="s">
        <v>12</v>
      </c>
      <c r="B27" t="s">
        <v>21</v>
      </c>
      <c r="C27" t="s">
        <v>56</v>
      </c>
      <c r="D27" t="s">
        <v>84</v>
      </c>
      <c r="E27">
        <v>4902701</v>
      </c>
      <c r="F27" t="s">
        <v>49</v>
      </c>
      <c r="G27" s="11" t="s">
        <v>29</v>
      </c>
      <c r="H27" s="11" t="s">
        <v>29</v>
      </c>
      <c r="I27" s="11" t="s">
        <v>29</v>
      </c>
      <c r="J27" s="11">
        <f>RecetteTransport2[[#All],[Fibres TC NOK]]</f>
        <v>0</v>
      </c>
      <c r="K27" s="50">
        <f>RecetteTransport2[[#All],[Valeur Critique]]</f>
        <v>0</v>
      </c>
      <c r="L27" s="50">
        <f>AD:AD</f>
        <v>10</v>
      </c>
      <c r="N27" t="s">
        <v>389</v>
      </c>
      <c r="O27" s="2">
        <v>44264</v>
      </c>
      <c r="P27">
        <f xml:space="preserve"> _xlfn.ISOWEEKNUM(RecetteTransport2[[#This Row],[Date validation Optique]])</f>
        <v>10</v>
      </c>
      <c r="Q27">
        <f>YEAR(RecetteTransport2[[#This Row],[Date validation Optique]])</f>
        <v>2021</v>
      </c>
      <c r="R27" t="s">
        <v>193</v>
      </c>
      <c r="S27" s="2">
        <v>44257</v>
      </c>
      <c r="T27" s="50">
        <f>_xlfn.ISOWEEKNUM(RecetteTransport2[[#This Row],[Date Achevement  Mécanique]])</f>
        <v>9</v>
      </c>
      <c r="U27" s="50">
        <f>YEAR(RecetteTransport2[[#This Row],[Date Achevement  Mécanique]])</f>
        <v>2021</v>
      </c>
      <c r="V27" s="2">
        <v>44161</v>
      </c>
      <c r="W27" s="50">
        <f>_xlfn.ISOWEEKNUM(RecetteTransport2[[#This Row],[Date de mesure]])</f>
        <v>48</v>
      </c>
      <c r="X27" s="11">
        <f>YEAR(RecetteTransport2[[#This Row],[Date de mesure]])</f>
        <v>2020</v>
      </c>
      <c r="Y27" s="2">
        <v>44161</v>
      </c>
      <c r="Z27" s="50">
        <f>_xlfn.ISOWEEKNUM(RecetteTransport2[[#This Row],[Date envoie dossier mesure]])</f>
        <v>48</v>
      </c>
      <c r="AA27" s="50">
        <f>YEAR(RecetteTransport2[[#This Row],[Date envoie dossier mesure]])</f>
        <v>2020</v>
      </c>
      <c r="AB27" s="11">
        <v>0</v>
      </c>
      <c r="AC27" s="11">
        <v>0</v>
      </c>
      <c r="AD27" s="50">
        <v>10</v>
      </c>
      <c r="AE27" s="6" t="e">
        <f>RecetteTransport2[[#All],[Nb de reprises Optiques]]/#REF!</f>
        <v>#REF!</v>
      </c>
      <c r="AF27" s="2">
        <v>44215</v>
      </c>
    </row>
    <row r="28" spans="1:32" hidden="1" x14ac:dyDescent="0.3">
      <c r="A28" t="s">
        <v>12</v>
      </c>
      <c r="B28" t="s">
        <v>21</v>
      </c>
      <c r="C28" t="s">
        <v>56</v>
      </c>
      <c r="D28" t="s">
        <v>152</v>
      </c>
      <c r="E28">
        <v>4902702</v>
      </c>
      <c r="F28" t="s">
        <v>49</v>
      </c>
      <c r="G28" s="11" t="s">
        <v>29</v>
      </c>
      <c r="H28" s="11" t="s">
        <v>29</v>
      </c>
      <c r="I28" s="11" t="s">
        <v>29</v>
      </c>
      <c r="J28" s="11">
        <f>RecetteTransport2[[#All],[Fibres TC NOK]]</f>
        <v>0</v>
      </c>
      <c r="K28" s="50">
        <f>RecetteTransport2[[#All],[Valeur Critique]]</f>
        <v>0</v>
      </c>
      <c r="L28" s="50">
        <f>AD:AD</f>
        <v>7</v>
      </c>
      <c r="N28" t="s">
        <v>389</v>
      </c>
      <c r="O28" s="2">
        <v>44264</v>
      </c>
      <c r="P28">
        <f xml:space="preserve"> _xlfn.ISOWEEKNUM(RecetteTransport2[[#This Row],[Date validation Optique]])</f>
        <v>10</v>
      </c>
      <c r="Q28">
        <f>YEAR(RecetteTransport2[[#This Row],[Date validation Optique]])</f>
        <v>2021</v>
      </c>
      <c r="R28" t="s">
        <v>193</v>
      </c>
      <c r="S28" s="2">
        <v>44257</v>
      </c>
      <c r="T28" s="50">
        <f>_xlfn.ISOWEEKNUM(RecetteTransport2[[#This Row],[Date Achevement  Mécanique]])</f>
        <v>9</v>
      </c>
      <c r="U28" s="50">
        <f>YEAR(RecetteTransport2[[#This Row],[Date Achevement  Mécanique]])</f>
        <v>2021</v>
      </c>
      <c r="V28" s="2">
        <v>44161</v>
      </c>
      <c r="W28" s="50">
        <f>_xlfn.ISOWEEKNUM(RecetteTransport2[[#This Row],[Date de mesure]])</f>
        <v>48</v>
      </c>
      <c r="X28" s="11">
        <f>YEAR(RecetteTransport2[[#This Row],[Date de mesure]])</f>
        <v>2020</v>
      </c>
      <c r="Y28" s="2">
        <v>44161</v>
      </c>
      <c r="Z28" s="50">
        <f>_xlfn.ISOWEEKNUM(RecetteTransport2[[#This Row],[Date envoie dossier mesure]])</f>
        <v>48</v>
      </c>
      <c r="AA28" s="50">
        <f>YEAR(RecetteTransport2[[#This Row],[Date envoie dossier mesure]])</f>
        <v>2020</v>
      </c>
      <c r="AB28" s="11">
        <v>0</v>
      </c>
      <c r="AC28" s="11">
        <v>0</v>
      </c>
      <c r="AD28" s="50">
        <v>7</v>
      </c>
      <c r="AE28" s="6" t="e">
        <f>RecetteTransport2[[#All],[Nb de reprises Optiques]]/#REF!</f>
        <v>#REF!</v>
      </c>
      <c r="AF28" s="2">
        <v>44215</v>
      </c>
    </row>
    <row r="29" spans="1:32" hidden="1" x14ac:dyDescent="0.3">
      <c r="A29" t="s">
        <v>12</v>
      </c>
      <c r="B29" t="s">
        <v>21</v>
      </c>
      <c r="C29" t="s">
        <v>56</v>
      </c>
      <c r="D29" t="s">
        <v>134</v>
      </c>
      <c r="E29">
        <v>4902703</v>
      </c>
      <c r="F29" t="s">
        <v>49</v>
      </c>
      <c r="G29" s="11" t="s">
        <v>29</v>
      </c>
      <c r="H29" s="11" t="s">
        <v>29</v>
      </c>
      <c r="I29" s="11" t="s">
        <v>29</v>
      </c>
      <c r="J29" s="11">
        <f>RecetteTransport2[[#All],[Fibres TC NOK]]</f>
        <v>0</v>
      </c>
      <c r="K29" s="50">
        <f>RecetteTransport2[[#All],[Valeur Critique]]</f>
        <v>0</v>
      </c>
      <c r="L29" s="50">
        <f>AD:AD</f>
        <v>10</v>
      </c>
      <c r="N29" t="s">
        <v>389</v>
      </c>
      <c r="O29" s="2">
        <v>44264</v>
      </c>
      <c r="P29">
        <f xml:space="preserve"> _xlfn.ISOWEEKNUM(RecetteTransport2[[#This Row],[Date validation Optique]])</f>
        <v>10</v>
      </c>
      <c r="Q29">
        <f>YEAR(RecetteTransport2[[#This Row],[Date validation Optique]])</f>
        <v>2021</v>
      </c>
      <c r="R29" t="s">
        <v>193</v>
      </c>
      <c r="S29" s="2">
        <v>44257</v>
      </c>
      <c r="T29" s="50">
        <f>_xlfn.ISOWEEKNUM(RecetteTransport2[[#This Row],[Date Achevement  Mécanique]])</f>
        <v>9</v>
      </c>
      <c r="U29" s="50">
        <f>YEAR(RecetteTransport2[[#This Row],[Date Achevement  Mécanique]])</f>
        <v>2021</v>
      </c>
      <c r="V29" s="2">
        <v>44161</v>
      </c>
      <c r="W29" s="50">
        <f>_xlfn.ISOWEEKNUM(RecetteTransport2[[#This Row],[Date de mesure]])</f>
        <v>48</v>
      </c>
      <c r="X29" s="11">
        <f>YEAR(RecetteTransport2[[#This Row],[Date de mesure]])</f>
        <v>2020</v>
      </c>
      <c r="Y29" s="2">
        <v>44161</v>
      </c>
      <c r="Z29" s="50">
        <f>_xlfn.ISOWEEKNUM(RecetteTransport2[[#This Row],[Date envoie dossier mesure]])</f>
        <v>48</v>
      </c>
      <c r="AA29" s="50">
        <f>YEAR(RecetteTransport2[[#This Row],[Date envoie dossier mesure]])</f>
        <v>2020</v>
      </c>
      <c r="AB29" s="11">
        <v>0</v>
      </c>
      <c r="AC29" s="11">
        <v>0</v>
      </c>
      <c r="AD29" s="50">
        <v>10</v>
      </c>
      <c r="AE29" s="6" t="e">
        <f>RecetteTransport2[[#All],[Nb de reprises Optiques]]/#REF!</f>
        <v>#REF!</v>
      </c>
      <c r="AF29" s="2">
        <v>44215</v>
      </c>
    </row>
    <row r="30" spans="1:32" hidden="1" x14ac:dyDescent="0.3">
      <c r="A30" t="s">
        <v>12</v>
      </c>
      <c r="B30" t="s">
        <v>13</v>
      </c>
      <c r="C30" t="s">
        <v>46</v>
      </c>
      <c r="D30" t="s">
        <v>204</v>
      </c>
      <c r="F30" t="s">
        <v>49</v>
      </c>
      <c r="G30" s="11"/>
      <c r="H30" s="11" t="s">
        <v>29</v>
      </c>
      <c r="I30" s="11" t="s">
        <v>29</v>
      </c>
      <c r="J30" s="11">
        <f>RecetteTransport2[[#All],[Fibres TC NOK]]</f>
        <v>4</v>
      </c>
      <c r="K30" s="50">
        <f>RecetteTransport2[[#All],[Valeur Critique]]</f>
        <v>0</v>
      </c>
      <c r="L30" s="50">
        <f>AD:AD</f>
        <v>10</v>
      </c>
      <c r="N30" t="s">
        <v>65</v>
      </c>
      <c r="P30">
        <f xml:space="preserve"> _xlfn.ISOWEEKNUM(RecetteTransport2[[#This Row],[Date validation Optique]])</f>
        <v>52</v>
      </c>
      <c r="Q30">
        <f>YEAR(RecetteTransport2[[#This Row],[Date validation Optique]])</f>
        <v>1900</v>
      </c>
      <c r="R30" t="s">
        <v>65</v>
      </c>
      <c r="T30" s="50">
        <f>_xlfn.ISOWEEKNUM(RecetteTransport2[[#This Row],[Date Achevement  Mécanique]])</f>
        <v>52</v>
      </c>
      <c r="U30" s="50">
        <f>YEAR(RecetteTransport2[[#This Row],[Date Achevement  Mécanique]])</f>
        <v>1900</v>
      </c>
      <c r="V30" s="2">
        <v>44214</v>
      </c>
      <c r="W30" s="50">
        <f>_xlfn.ISOWEEKNUM(RecetteTransport2[[#This Row],[Date de mesure]])</f>
        <v>3</v>
      </c>
      <c r="X30" s="11">
        <f>YEAR(RecetteTransport2[[#This Row],[Date de mesure]])</f>
        <v>2021</v>
      </c>
      <c r="Y30" s="2">
        <v>44223</v>
      </c>
      <c r="Z30" s="50">
        <f>_xlfn.ISOWEEKNUM(RecetteTransport2[[#This Row],[Date envoie dossier mesure]])</f>
        <v>4</v>
      </c>
      <c r="AA30" s="50">
        <f>YEAR(RecetteTransport2[[#This Row],[Date envoie dossier mesure]])</f>
        <v>2021</v>
      </c>
      <c r="AB30" s="11">
        <v>4</v>
      </c>
      <c r="AC30" s="11"/>
      <c r="AD30" s="50">
        <v>10</v>
      </c>
      <c r="AE30" s="6" t="e">
        <f>RecetteTransport2[[#All],[Nb de reprises Optiques]]/#REF!</f>
        <v>#REF!</v>
      </c>
      <c r="AF30" s="6"/>
    </row>
    <row r="31" spans="1:32" hidden="1" x14ac:dyDescent="0.3">
      <c r="A31" t="s">
        <v>12</v>
      </c>
      <c r="B31" t="s">
        <v>13</v>
      </c>
      <c r="C31" t="s">
        <v>46</v>
      </c>
      <c r="D31" t="s">
        <v>95</v>
      </c>
      <c r="F31" t="s">
        <v>49</v>
      </c>
      <c r="G31" s="11"/>
      <c r="H31" s="11" t="s">
        <v>29</v>
      </c>
      <c r="I31" s="11" t="s">
        <v>29</v>
      </c>
      <c r="J31" s="11">
        <f>RecetteTransport2[[#All],[Fibres TC NOK]]</f>
        <v>0</v>
      </c>
      <c r="K31" s="50">
        <f>RecetteTransport2[[#All],[Valeur Critique]]</f>
        <v>5</v>
      </c>
      <c r="L31" s="50">
        <f>AD:AD</f>
        <v>52</v>
      </c>
      <c r="N31" t="s">
        <v>65</v>
      </c>
      <c r="P31">
        <f xml:space="preserve"> _xlfn.ISOWEEKNUM(RecetteTransport2[[#This Row],[Date validation Optique]])</f>
        <v>52</v>
      </c>
      <c r="Q31">
        <f>YEAR(RecetteTransport2[[#This Row],[Date validation Optique]])</f>
        <v>1900</v>
      </c>
      <c r="R31" t="s">
        <v>65</v>
      </c>
      <c r="T31" s="50">
        <f>_xlfn.ISOWEEKNUM(RecetteTransport2[[#This Row],[Date Achevement  Mécanique]])</f>
        <v>52</v>
      </c>
      <c r="U31" s="50">
        <f>YEAR(RecetteTransport2[[#This Row],[Date Achevement  Mécanique]])</f>
        <v>1900</v>
      </c>
      <c r="V31" s="2"/>
      <c r="W31" s="50">
        <f>_xlfn.ISOWEEKNUM(RecetteTransport2[[#This Row],[Date de mesure]])</f>
        <v>52</v>
      </c>
      <c r="X31" s="11">
        <f>YEAR(RecetteTransport2[[#This Row],[Date de mesure]])</f>
        <v>1900</v>
      </c>
      <c r="Y31" s="2">
        <v>44222</v>
      </c>
      <c r="Z31" s="50">
        <f>_xlfn.ISOWEEKNUM(RecetteTransport2[[#This Row],[Date envoie dossier mesure]])</f>
        <v>4</v>
      </c>
      <c r="AA31" s="50">
        <f>YEAR(RecetteTransport2[[#This Row],[Date envoie dossier mesure]])</f>
        <v>2021</v>
      </c>
      <c r="AB31" s="11">
        <v>0</v>
      </c>
      <c r="AC31" s="11">
        <v>5</v>
      </c>
      <c r="AD31" s="50">
        <v>52</v>
      </c>
      <c r="AE31" s="6" t="e">
        <f>RecetteTransport2[[#All],[Nb de reprises Optiques]]/#REF!</f>
        <v>#REF!</v>
      </c>
      <c r="AF31" s="6"/>
    </row>
    <row r="32" spans="1:32" hidden="1" x14ac:dyDescent="0.3">
      <c r="A32" t="s">
        <v>12</v>
      </c>
      <c r="B32" t="s">
        <v>13</v>
      </c>
      <c r="C32" t="s">
        <v>46</v>
      </c>
      <c r="D32" t="s">
        <v>261</v>
      </c>
      <c r="F32" t="s">
        <v>49</v>
      </c>
      <c r="G32" s="11"/>
      <c r="H32" s="11" t="s">
        <v>29</v>
      </c>
      <c r="I32" s="11"/>
      <c r="J32" s="11">
        <f>RecetteTransport2[[#All],[Fibres TC NOK]]</f>
        <v>0</v>
      </c>
      <c r="K32" s="50">
        <f>RecetteTransport2[[#All],[Valeur Critique]]</f>
        <v>0</v>
      </c>
      <c r="L32" s="50">
        <f>AD:AD</f>
        <v>0</v>
      </c>
      <c r="N32" t="s">
        <v>65</v>
      </c>
      <c r="P32">
        <f xml:space="preserve"> _xlfn.ISOWEEKNUM(RecetteTransport2[[#This Row],[Date validation Optique]])</f>
        <v>52</v>
      </c>
      <c r="Q32">
        <f>YEAR(RecetteTransport2[[#This Row],[Date validation Optique]])</f>
        <v>1900</v>
      </c>
      <c r="T32" s="50">
        <f>_xlfn.ISOWEEKNUM(RecetteTransport2[[#This Row],[Date Achevement  Mécanique]])</f>
        <v>52</v>
      </c>
      <c r="U32" s="50">
        <f>YEAR(RecetteTransport2[[#This Row],[Date Achevement  Mécanique]])</f>
        <v>1900</v>
      </c>
      <c r="V32" s="2">
        <v>44265</v>
      </c>
      <c r="W32" s="50">
        <f>_xlfn.ISOWEEKNUM(RecetteTransport2[[#This Row],[Date de mesure]])</f>
        <v>10</v>
      </c>
      <c r="X32" s="11">
        <f>YEAR(RecetteTransport2[[#This Row],[Date de mesure]])</f>
        <v>2021</v>
      </c>
      <c r="Z32" s="50">
        <f>_xlfn.ISOWEEKNUM(RecetteTransport2[[#This Row],[Date envoie dossier mesure]])</f>
        <v>52</v>
      </c>
      <c r="AA32" s="50">
        <f>YEAR(RecetteTransport2[[#This Row],[Date envoie dossier mesure]])</f>
        <v>1900</v>
      </c>
      <c r="AB32" s="11"/>
      <c r="AC32" s="11"/>
      <c r="AE32" s="6" t="e">
        <f>RecetteTransport2[[#All],[Nb de reprises Optiques]]/#REF!</f>
        <v>#REF!</v>
      </c>
      <c r="AF32" s="6"/>
    </row>
    <row r="33" spans="1:32" hidden="1" x14ac:dyDescent="0.3">
      <c r="A33" t="s">
        <v>12</v>
      </c>
      <c r="B33" t="s">
        <v>13</v>
      </c>
      <c r="C33" t="s">
        <v>46</v>
      </c>
      <c r="D33" t="s">
        <v>96</v>
      </c>
      <c r="F33" t="s">
        <v>49</v>
      </c>
      <c r="G33" s="11"/>
      <c r="H33" s="11" t="s">
        <v>29</v>
      </c>
      <c r="I33" s="11" t="s">
        <v>29</v>
      </c>
      <c r="J33" s="11">
        <f>RecetteTransport2[[#All],[Fibres TC NOK]]</f>
        <v>0</v>
      </c>
      <c r="K33" s="50">
        <f>RecetteTransport2[[#All],[Valeur Critique]]</f>
        <v>10</v>
      </c>
      <c r="L33" s="50">
        <f>AD:AD</f>
        <v>134</v>
      </c>
      <c r="N33" t="s">
        <v>65</v>
      </c>
      <c r="P33">
        <f xml:space="preserve"> _xlfn.ISOWEEKNUM(RecetteTransport2[[#This Row],[Date validation Optique]])</f>
        <v>52</v>
      </c>
      <c r="Q33">
        <f>YEAR(RecetteTransport2[[#This Row],[Date validation Optique]])</f>
        <v>1900</v>
      </c>
      <c r="R33" t="s">
        <v>65</v>
      </c>
      <c r="T33" s="50">
        <f>_xlfn.ISOWEEKNUM(RecetteTransport2[[#This Row],[Date Achevement  Mécanique]])</f>
        <v>52</v>
      </c>
      <c r="U33" s="50">
        <f>YEAR(RecetteTransport2[[#This Row],[Date Achevement  Mécanique]])</f>
        <v>1900</v>
      </c>
      <c r="V33" s="2"/>
      <c r="W33" s="50">
        <f>_xlfn.ISOWEEKNUM(RecetteTransport2[[#This Row],[Date de mesure]])</f>
        <v>52</v>
      </c>
      <c r="X33" s="11">
        <f>YEAR(RecetteTransport2[[#This Row],[Date de mesure]])</f>
        <v>1900</v>
      </c>
      <c r="Y33" s="2">
        <v>44036</v>
      </c>
      <c r="Z33" s="50">
        <f>_xlfn.ISOWEEKNUM(RecetteTransport2[[#This Row],[Date envoie dossier mesure]])</f>
        <v>30</v>
      </c>
      <c r="AA33" s="50">
        <f>YEAR(RecetteTransport2[[#This Row],[Date envoie dossier mesure]])</f>
        <v>2020</v>
      </c>
      <c r="AB33" s="11">
        <v>0</v>
      </c>
      <c r="AC33" s="11">
        <v>10</v>
      </c>
      <c r="AD33" s="50">
        <v>134</v>
      </c>
      <c r="AE33" s="6" t="e">
        <f>RecetteTransport2[[#All],[Nb de reprises Optiques]]/#REF!</f>
        <v>#REF!</v>
      </c>
      <c r="AF33" s="6"/>
    </row>
    <row r="34" spans="1:32" hidden="1" x14ac:dyDescent="0.3">
      <c r="A34" t="s">
        <v>12</v>
      </c>
      <c r="B34" t="s">
        <v>13</v>
      </c>
      <c r="C34" t="s">
        <v>46</v>
      </c>
      <c r="D34" t="s">
        <v>97</v>
      </c>
      <c r="F34" t="s">
        <v>49</v>
      </c>
      <c r="G34" s="11"/>
      <c r="H34" s="11" t="s">
        <v>29</v>
      </c>
      <c r="I34" s="11" t="s">
        <v>29</v>
      </c>
      <c r="J34" s="11">
        <f>RecetteTransport2[[#All],[Fibres TC NOK]]</f>
        <v>3</v>
      </c>
      <c r="K34" s="50">
        <f>RecetteTransport2[[#All],[Valeur Critique]]</f>
        <v>0</v>
      </c>
      <c r="L34" s="50">
        <f>AD:AD</f>
        <v>43</v>
      </c>
      <c r="N34" t="s">
        <v>65</v>
      </c>
      <c r="P34">
        <f xml:space="preserve"> _xlfn.ISOWEEKNUM(RecetteTransport2[[#This Row],[Date validation Optique]])</f>
        <v>52</v>
      </c>
      <c r="Q34">
        <f>YEAR(RecetteTransport2[[#This Row],[Date validation Optique]])</f>
        <v>1900</v>
      </c>
      <c r="R34" t="s">
        <v>65</v>
      </c>
      <c r="T34" s="50">
        <f>_xlfn.ISOWEEKNUM(RecetteTransport2[[#This Row],[Date Achevement  Mécanique]])</f>
        <v>52</v>
      </c>
      <c r="U34" s="50">
        <f>YEAR(RecetteTransport2[[#This Row],[Date Achevement  Mécanique]])</f>
        <v>1900</v>
      </c>
      <c r="V34" s="2"/>
      <c r="W34" s="50">
        <f>_xlfn.ISOWEEKNUM(RecetteTransport2[[#This Row],[Date de mesure]])</f>
        <v>52</v>
      </c>
      <c r="X34" s="11">
        <f>YEAR(RecetteTransport2[[#This Row],[Date de mesure]])</f>
        <v>1900</v>
      </c>
      <c r="Y34" s="2">
        <v>44222</v>
      </c>
      <c r="Z34" s="50">
        <f>_xlfn.ISOWEEKNUM(RecetteTransport2[[#This Row],[Date envoie dossier mesure]])</f>
        <v>4</v>
      </c>
      <c r="AA34" s="50">
        <f>YEAR(RecetteTransport2[[#This Row],[Date envoie dossier mesure]])</f>
        <v>2021</v>
      </c>
      <c r="AB34" s="11">
        <v>3</v>
      </c>
      <c r="AC34" s="11">
        <v>0</v>
      </c>
      <c r="AD34" s="50">
        <v>43</v>
      </c>
      <c r="AE34" s="6" t="e">
        <f>RecetteTransport2[[#All],[Nb de reprises Optiques]]/#REF!</f>
        <v>#REF!</v>
      </c>
      <c r="AF34" s="6"/>
    </row>
    <row r="35" spans="1:32" hidden="1" x14ac:dyDescent="0.3">
      <c r="A35" t="s">
        <v>12</v>
      </c>
      <c r="B35" t="s">
        <v>13</v>
      </c>
      <c r="C35" t="s">
        <v>46</v>
      </c>
      <c r="D35" t="s">
        <v>98</v>
      </c>
      <c r="G35" s="11"/>
      <c r="H35" s="11" t="s">
        <v>29</v>
      </c>
      <c r="I35" s="11" t="s">
        <v>29</v>
      </c>
      <c r="J35" s="11">
        <f>RecetteTransport2[[#All],[Fibres TC NOK]]</f>
        <v>6</v>
      </c>
      <c r="K35" s="50">
        <f>RecetteTransport2[[#All],[Valeur Critique]]</f>
        <v>0</v>
      </c>
      <c r="L35" s="50">
        <f>AD:AD</f>
        <v>146</v>
      </c>
      <c r="N35" t="s">
        <v>65</v>
      </c>
      <c r="P35">
        <f xml:space="preserve"> _xlfn.ISOWEEKNUM(RecetteTransport2[[#This Row],[Date validation Optique]])</f>
        <v>52</v>
      </c>
      <c r="Q35">
        <f>YEAR(RecetteTransport2[[#This Row],[Date validation Optique]])</f>
        <v>1900</v>
      </c>
      <c r="R35" t="s">
        <v>65</v>
      </c>
      <c r="T35" s="50">
        <f>_xlfn.ISOWEEKNUM(RecetteTransport2[[#This Row],[Date Achevement  Mécanique]])</f>
        <v>52</v>
      </c>
      <c r="U35" s="50">
        <f>YEAR(RecetteTransport2[[#This Row],[Date Achevement  Mécanique]])</f>
        <v>1900</v>
      </c>
      <c r="V35" s="2"/>
      <c r="W35" s="50">
        <f>_xlfn.ISOWEEKNUM(RecetteTransport2[[#This Row],[Date de mesure]])</f>
        <v>52</v>
      </c>
      <c r="X35" s="11">
        <f>YEAR(RecetteTransport2[[#This Row],[Date de mesure]])</f>
        <v>1900</v>
      </c>
      <c r="Y35" s="2">
        <v>44223</v>
      </c>
      <c r="Z35" s="50">
        <f>_xlfn.ISOWEEKNUM(RecetteTransport2[[#This Row],[Date envoie dossier mesure]])</f>
        <v>4</v>
      </c>
      <c r="AA35" s="50">
        <f>YEAR(RecetteTransport2[[#This Row],[Date envoie dossier mesure]])</f>
        <v>2021</v>
      </c>
      <c r="AB35" s="11">
        <v>6</v>
      </c>
      <c r="AC35" s="11">
        <v>0</v>
      </c>
      <c r="AD35" s="50">
        <v>146</v>
      </c>
      <c r="AE35" s="6" t="e">
        <f>RecetteTransport2[[#All],[Nb de reprises Optiques]]/#REF!</f>
        <v>#REF!</v>
      </c>
      <c r="AF35" s="6"/>
    </row>
    <row r="36" spans="1:32" hidden="1" x14ac:dyDescent="0.3">
      <c r="A36" t="s">
        <v>12</v>
      </c>
      <c r="B36" t="s">
        <v>13</v>
      </c>
      <c r="C36" t="s">
        <v>46</v>
      </c>
      <c r="D36" t="s">
        <v>81</v>
      </c>
      <c r="F36" t="s">
        <v>49</v>
      </c>
      <c r="G36" s="11"/>
      <c r="H36" s="11" t="s">
        <v>29</v>
      </c>
      <c r="I36" s="11" t="s">
        <v>29</v>
      </c>
      <c r="J36" s="11">
        <f>RecetteTransport2[[#All],[Fibres TC NOK]]</f>
        <v>0</v>
      </c>
      <c r="K36" s="50">
        <f>RecetteTransport2[[#All],[Valeur Critique]]</f>
        <v>6</v>
      </c>
      <c r="L36" s="50">
        <f>AD:AD</f>
        <v>26</v>
      </c>
      <c r="N36" t="s">
        <v>65</v>
      </c>
      <c r="P36">
        <f xml:space="preserve"> _xlfn.ISOWEEKNUM(RecetteTransport2[[#This Row],[Date validation Optique]])</f>
        <v>52</v>
      </c>
      <c r="Q36">
        <f>YEAR(RecetteTransport2[[#This Row],[Date validation Optique]])</f>
        <v>1900</v>
      </c>
      <c r="R36" t="s">
        <v>65</v>
      </c>
      <c r="T36" s="50">
        <f>_xlfn.ISOWEEKNUM(RecetteTransport2[[#This Row],[Date Achevement  Mécanique]])</f>
        <v>52</v>
      </c>
      <c r="U36" s="50">
        <f>YEAR(RecetteTransport2[[#This Row],[Date Achevement  Mécanique]])</f>
        <v>1900</v>
      </c>
      <c r="V36" s="2"/>
      <c r="W36" s="50">
        <f>_xlfn.ISOWEEKNUM(RecetteTransport2[[#This Row],[Date de mesure]])</f>
        <v>52</v>
      </c>
      <c r="X36" s="11">
        <f>YEAR(RecetteTransport2[[#This Row],[Date de mesure]])</f>
        <v>1900</v>
      </c>
      <c r="Y36" s="2">
        <v>44036</v>
      </c>
      <c r="Z36" s="50">
        <f>_xlfn.ISOWEEKNUM(RecetteTransport2[[#This Row],[Date envoie dossier mesure]])</f>
        <v>30</v>
      </c>
      <c r="AA36" s="50">
        <f>YEAR(RecetteTransport2[[#This Row],[Date envoie dossier mesure]])</f>
        <v>2020</v>
      </c>
      <c r="AB36" s="11">
        <v>0</v>
      </c>
      <c r="AC36" s="11">
        <v>6</v>
      </c>
      <c r="AD36" s="50">
        <v>26</v>
      </c>
      <c r="AE36" s="6" t="e">
        <f>RecetteTransport2[[#All],[Nb de reprises Optiques]]/#REF!</f>
        <v>#REF!</v>
      </c>
      <c r="AF36" s="6"/>
    </row>
    <row r="37" spans="1:32" hidden="1" x14ac:dyDescent="0.3">
      <c r="A37" t="s">
        <v>12</v>
      </c>
      <c r="B37" t="s">
        <v>13</v>
      </c>
      <c r="C37" t="s">
        <v>46</v>
      </c>
      <c r="D37" t="s">
        <v>99</v>
      </c>
      <c r="G37" s="11"/>
      <c r="H37" s="11" t="s">
        <v>29</v>
      </c>
      <c r="I37" s="11" t="s">
        <v>29</v>
      </c>
      <c r="J37" s="11">
        <f>RecetteTransport2[[#All],[Fibres TC NOK]]</f>
        <v>2</v>
      </c>
      <c r="K37" s="50">
        <f>RecetteTransport2[[#All],[Valeur Critique]]</f>
        <v>1</v>
      </c>
      <c r="L37" s="50">
        <f>AD:AD</f>
        <v>100</v>
      </c>
      <c r="N37" t="s">
        <v>65</v>
      </c>
      <c r="P37">
        <f xml:space="preserve"> _xlfn.ISOWEEKNUM(RecetteTransport2[[#This Row],[Date validation Optique]])</f>
        <v>52</v>
      </c>
      <c r="Q37">
        <f>YEAR(RecetteTransport2[[#This Row],[Date validation Optique]])</f>
        <v>1900</v>
      </c>
      <c r="R37" t="s">
        <v>65</v>
      </c>
      <c r="T37" s="50">
        <f>_xlfn.ISOWEEKNUM(RecetteTransport2[[#This Row],[Date Achevement  Mécanique]])</f>
        <v>52</v>
      </c>
      <c r="U37" s="50">
        <f>YEAR(RecetteTransport2[[#This Row],[Date Achevement  Mécanique]])</f>
        <v>1900</v>
      </c>
      <c r="V37" s="2"/>
      <c r="W37" s="50">
        <f>_xlfn.ISOWEEKNUM(RecetteTransport2[[#This Row],[Date de mesure]])</f>
        <v>52</v>
      </c>
      <c r="X37" s="11">
        <f>YEAR(RecetteTransport2[[#This Row],[Date de mesure]])</f>
        <v>1900</v>
      </c>
      <c r="Y37" s="2">
        <v>44179</v>
      </c>
      <c r="Z37" s="50">
        <f>_xlfn.ISOWEEKNUM(RecetteTransport2[[#This Row],[Date envoie dossier mesure]])</f>
        <v>51</v>
      </c>
      <c r="AA37" s="50">
        <f>YEAR(RecetteTransport2[[#This Row],[Date envoie dossier mesure]])</f>
        <v>2020</v>
      </c>
      <c r="AB37" s="11">
        <v>2</v>
      </c>
      <c r="AC37" s="11">
        <v>1</v>
      </c>
      <c r="AD37" s="50">
        <v>100</v>
      </c>
      <c r="AE37" s="6" t="e">
        <f>RecetteTransport2[[#All],[Nb de reprises Optiques]]/#REF!</f>
        <v>#REF!</v>
      </c>
      <c r="AF37" s="6"/>
    </row>
    <row r="38" spans="1:32" hidden="1" x14ac:dyDescent="0.3">
      <c r="A38" t="s">
        <v>12</v>
      </c>
      <c r="B38" t="s">
        <v>13</v>
      </c>
      <c r="C38" t="s">
        <v>46</v>
      </c>
      <c r="D38" t="s">
        <v>100</v>
      </c>
      <c r="F38" t="s">
        <v>49</v>
      </c>
      <c r="G38" s="11"/>
      <c r="H38" s="11" t="s">
        <v>29</v>
      </c>
      <c r="I38" s="11" t="s">
        <v>29</v>
      </c>
      <c r="J38" s="11">
        <f>RecetteTransport2[[#All],[Fibres TC NOK]]</f>
        <v>0</v>
      </c>
      <c r="K38" s="50">
        <f>RecetteTransport2[[#All],[Valeur Critique]]</f>
        <v>0</v>
      </c>
      <c r="L38" s="50">
        <f>AD:AD</f>
        <v>61</v>
      </c>
      <c r="N38" t="s">
        <v>65</v>
      </c>
      <c r="P38">
        <f xml:space="preserve"> _xlfn.ISOWEEKNUM(RecetteTransport2[[#This Row],[Date validation Optique]])</f>
        <v>52</v>
      </c>
      <c r="Q38">
        <f>YEAR(RecetteTransport2[[#This Row],[Date validation Optique]])</f>
        <v>1900</v>
      </c>
      <c r="R38" t="s">
        <v>65</v>
      </c>
      <c r="T38" s="50">
        <f>_xlfn.ISOWEEKNUM(RecetteTransport2[[#This Row],[Date Achevement  Mécanique]])</f>
        <v>52</v>
      </c>
      <c r="U38" s="50">
        <f>YEAR(RecetteTransport2[[#This Row],[Date Achevement  Mécanique]])</f>
        <v>1900</v>
      </c>
      <c r="V38" s="2"/>
      <c r="W38" s="50">
        <f>_xlfn.ISOWEEKNUM(RecetteTransport2[[#This Row],[Date de mesure]])</f>
        <v>52</v>
      </c>
      <c r="X38" s="11">
        <f>YEAR(RecetteTransport2[[#This Row],[Date de mesure]])</f>
        <v>1900</v>
      </c>
      <c r="Z38" s="50">
        <f>_xlfn.ISOWEEKNUM(RecetteTransport2[[#This Row],[Date envoie dossier mesure]])</f>
        <v>52</v>
      </c>
      <c r="AA38" s="50">
        <f>YEAR(RecetteTransport2[[#This Row],[Date envoie dossier mesure]])</f>
        <v>1900</v>
      </c>
      <c r="AB38" s="11">
        <v>0</v>
      </c>
      <c r="AC38" s="11">
        <v>0</v>
      </c>
      <c r="AD38" s="50">
        <v>61</v>
      </c>
      <c r="AE38" s="6" t="e">
        <f>RecetteTransport2[[#All],[Nb de reprises Optiques]]/#REF!</f>
        <v>#REF!</v>
      </c>
      <c r="AF38" s="6"/>
    </row>
    <row r="39" spans="1:32" hidden="1" x14ac:dyDescent="0.3">
      <c r="A39" t="s">
        <v>12</v>
      </c>
      <c r="B39" t="s">
        <v>13</v>
      </c>
      <c r="C39" t="s">
        <v>46</v>
      </c>
      <c r="D39" t="s">
        <v>101</v>
      </c>
      <c r="F39" t="s">
        <v>49</v>
      </c>
      <c r="G39" s="11"/>
      <c r="H39" s="11" t="s">
        <v>29</v>
      </c>
      <c r="I39" s="11" t="s">
        <v>29</v>
      </c>
      <c r="J39" s="11">
        <f>RecetteTransport2[[#All],[Fibres TC NOK]]</f>
        <v>1</v>
      </c>
      <c r="K39" s="50">
        <f>RecetteTransport2[[#All],[Valeur Critique]]</f>
        <v>0</v>
      </c>
      <c r="L39" s="50">
        <f>AD:AD</f>
        <v>42</v>
      </c>
      <c r="N39" t="s">
        <v>65</v>
      </c>
      <c r="P39">
        <f xml:space="preserve"> _xlfn.ISOWEEKNUM(RecetteTransport2[[#This Row],[Date validation Optique]])</f>
        <v>52</v>
      </c>
      <c r="Q39">
        <f>YEAR(RecetteTransport2[[#This Row],[Date validation Optique]])</f>
        <v>1900</v>
      </c>
      <c r="R39" t="s">
        <v>65</v>
      </c>
      <c r="T39" s="50">
        <f>_xlfn.ISOWEEKNUM(RecetteTransport2[[#This Row],[Date Achevement  Mécanique]])</f>
        <v>52</v>
      </c>
      <c r="U39" s="50">
        <f>YEAR(RecetteTransport2[[#This Row],[Date Achevement  Mécanique]])</f>
        <v>1900</v>
      </c>
      <c r="V39" s="2"/>
      <c r="W39" s="50">
        <f>_xlfn.ISOWEEKNUM(RecetteTransport2[[#This Row],[Date de mesure]])</f>
        <v>52</v>
      </c>
      <c r="X39" s="11">
        <f>YEAR(RecetteTransport2[[#This Row],[Date de mesure]])</f>
        <v>1900</v>
      </c>
      <c r="Y39" s="2">
        <v>44223</v>
      </c>
      <c r="Z39" s="50">
        <f>_xlfn.ISOWEEKNUM(RecetteTransport2[[#This Row],[Date envoie dossier mesure]])</f>
        <v>4</v>
      </c>
      <c r="AA39" s="50">
        <f>YEAR(RecetteTransport2[[#This Row],[Date envoie dossier mesure]])</f>
        <v>2021</v>
      </c>
      <c r="AB39" s="11">
        <v>1</v>
      </c>
      <c r="AC39" s="11">
        <v>0</v>
      </c>
      <c r="AD39" s="50">
        <v>42</v>
      </c>
      <c r="AE39" s="6" t="e">
        <f>RecetteTransport2[[#All],[Nb de reprises Optiques]]/#REF!</f>
        <v>#REF!</v>
      </c>
      <c r="AF39" s="6"/>
    </row>
    <row r="40" spans="1:32" hidden="1" x14ac:dyDescent="0.3">
      <c r="A40" t="s">
        <v>12</v>
      </c>
      <c r="B40" t="s">
        <v>13</v>
      </c>
      <c r="C40" t="s">
        <v>46</v>
      </c>
      <c r="D40" t="s">
        <v>85</v>
      </c>
      <c r="F40" t="s">
        <v>49</v>
      </c>
      <c r="G40" s="11"/>
      <c r="H40" s="11" t="s">
        <v>29</v>
      </c>
      <c r="I40" s="11" t="s">
        <v>29</v>
      </c>
      <c r="J40" s="11">
        <f>RecetteTransport2[[#All],[Fibres TC NOK]]</f>
        <v>0</v>
      </c>
      <c r="K40" s="50">
        <f>RecetteTransport2[[#All],[Valeur Critique]]</f>
        <v>0</v>
      </c>
      <c r="L40" s="50">
        <f>AD:AD</f>
        <v>7</v>
      </c>
      <c r="N40" t="s">
        <v>65</v>
      </c>
      <c r="P40">
        <f xml:space="preserve"> _xlfn.ISOWEEKNUM(RecetteTransport2[[#This Row],[Date validation Optique]])</f>
        <v>52</v>
      </c>
      <c r="Q40">
        <f>YEAR(RecetteTransport2[[#This Row],[Date validation Optique]])</f>
        <v>1900</v>
      </c>
      <c r="R40" t="s">
        <v>65</v>
      </c>
      <c r="T40" s="50">
        <f>_xlfn.ISOWEEKNUM(RecetteTransport2[[#This Row],[Date Achevement  Mécanique]])</f>
        <v>52</v>
      </c>
      <c r="U40" s="50">
        <f>YEAR(RecetteTransport2[[#This Row],[Date Achevement  Mécanique]])</f>
        <v>1900</v>
      </c>
      <c r="V40" s="2"/>
      <c r="W40" s="50">
        <f>_xlfn.ISOWEEKNUM(RecetteTransport2[[#This Row],[Date de mesure]])</f>
        <v>52</v>
      </c>
      <c r="X40" s="11">
        <f>YEAR(RecetteTransport2[[#This Row],[Date de mesure]])</f>
        <v>1900</v>
      </c>
      <c r="Y40" s="2">
        <v>44223</v>
      </c>
      <c r="Z40" s="50">
        <f>_xlfn.ISOWEEKNUM(RecetteTransport2[[#This Row],[Date envoie dossier mesure]])</f>
        <v>4</v>
      </c>
      <c r="AA40" s="50">
        <f>YEAR(RecetteTransport2[[#This Row],[Date envoie dossier mesure]])</f>
        <v>2021</v>
      </c>
      <c r="AB40" s="11">
        <v>0</v>
      </c>
      <c r="AC40" s="11">
        <v>0</v>
      </c>
      <c r="AD40" s="50">
        <v>7</v>
      </c>
      <c r="AE40" s="6" t="e">
        <f>RecetteTransport2[[#All],[Nb de reprises Optiques]]/#REF!</f>
        <v>#REF!</v>
      </c>
      <c r="AF40" s="6"/>
    </row>
    <row r="41" spans="1:32" hidden="1" x14ac:dyDescent="0.3">
      <c r="A41" t="s">
        <v>12</v>
      </c>
      <c r="B41" t="s">
        <v>13</v>
      </c>
      <c r="C41" t="s">
        <v>46</v>
      </c>
      <c r="D41" t="s">
        <v>102</v>
      </c>
      <c r="F41" t="s">
        <v>49</v>
      </c>
      <c r="G41" s="11"/>
      <c r="H41" s="11" t="s">
        <v>29</v>
      </c>
      <c r="I41" s="11" t="s">
        <v>29</v>
      </c>
      <c r="J41" s="11">
        <f>RecetteTransport2[[#All],[Fibres TC NOK]]</f>
        <v>0</v>
      </c>
      <c r="K41" s="50">
        <f>RecetteTransport2[[#All],[Valeur Critique]]</f>
        <v>3</v>
      </c>
      <c r="L41" s="50">
        <f>AD:AD</f>
        <v>35</v>
      </c>
      <c r="N41" t="s">
        <v>65</v>
      </c>
      <c r="P41">
        <f xml:space="preserve"> _xlfn.ISOWEEKNUM(RecetteTransport2[[#This Row],[Date validation Optique]])</f>
        <v>52</v>
      </c>
      <c r="Q41">
        <f>YEAR(RecetteTransport2[[#This Row],[Date validation Optique]])</f>
        <v>1900</v>
      </c>
      <c r="R41" t="s">
        <v>65</v>
      </c>
      <c r="T41" s="50">
        <f>_xlfn.ISOWEEKNUM(RecetteTransport2[[#This Row],[Date Achevement  Mécanique]])</f>
        <v>52</v>
      </c>
      <c r="U41" s="50">
        <f>YEAR(RecetteTransport2[[#This Row],[Date Achevement  Mécanique]])</f>
        <v>1900</v>
      </c>
      <c r="V41" s="2"/>
      <c r="W41" s="50">
        <f>_xlfn.ISOWEEKNUM(RecetteTransport2[[#This Row],[Date de mesure]])</f>
        <v>52</v>
      </c>
      <c r="X41" s="11">
        <f>YEAR(RecetteTransport2[[#This Row],[Date de mesure]])</f>
        <v>1900</v>
      </c>
      <c r="Y41" s="2">
        <v>44036</v>
      </c>
      <c r="Z41" s="50">
        <f>_xlfn.ISOWEEKNUM(RecetteTransport2[[#This Row],[Date envoie dossier mesure]])</f>
        <v>30</v>
      </c>
      <c r="AA41" s="50">
        <f>YEAR(RecetteTransport2[[#This Row],[Date envoie dossier mesure]])</f>
        <v>2020</v>
      </c>
      <c r="AB41" s="11">
        <v>0</v>
      </c>
      <c r="AC41" s="11">
        <v>3</v>
      </c>
      <c r="AD41" s="50">
        <v>35</v>
      </c>
      <c r="AE41" s="6" t="e">
        <f>RecetteTransport2[[#All],[Nb de reprises Optiques]]/#REF!</f>
        <v>#REF!</v>
      </c>
      <c r="AF41" s="6"/>
    </row>
    <row r="42" spans="1:32" x14ac:dyDescent="0.3">
      <c r="A42" t="s">
        <v>12</v>
      </c>
      <c r="B42" t="s">
        <v>13</v>
      </c>
      <c r="C42" t="s">
        <v>600</v>
      </c>
      <c r="D42" t="s">
        <v>450</v>
      </c>
      <c r="G42" s="11"/>
      <c r="H42" s="11"/>
      <c r="I42" s="11"/>
      <c r="J42" s="11">
        <f>RecetteTransport2[[#All],[Fibres TC NOK]]</f>
        <v>0</v>
      </c>
      <c r="K42" s="50">
        <f>RecetteTransport2[[#All],[Valeur Critique]]</f>
        <v>0</v>
      </c>
      <c r="L42" s="50">
        <f t="shared" ref="L42:L44" si="1">AD:AD</f>
        <v>0</v>
      </c>
      <c r="P42" s="11">
        <f xml:space="preserve"> _xlfn.ISOWEEKNUM(RecetteTransport2[[#This Row],[Date validation Optique]])</f>
        <v>52</v>
      </c>
      <c r="Q42" s="11">
        <f>YEAR(RecetteTransport2[[#This Row],[Date validation Optique]])</f>
        <v>1900</v>
      </c>
      <c r="S42" s="47" t="e">
        <f>#REF!+10</f>
        <v>#REF!</v>
      </c>
      <c r="T42" s="50" t="e">
        <f>_xlfn.ISOWEEKNUM(RecetteTransport2[[#This Row],[Date Achevement  Mécanique]])</f>
        <v>#REF!</v>
      </c>
      <c r="U42" s="50" t="e">
        <f>YEAR(RecetteTransport2[[#This Row],[Date Achevement  Mécanique]])</f>
        <v>#REF!</v>
      </c>
      <c r="V42" s="47"/>
      <c r="W42" s="50">
        <f>_xlfn.ISOWEEKNUM(RecetteTransport2[[#This Row],[Date de mesure]])</f>
        <v>52</v>
      </c>
      <c r="X42" s="11">
        <f>YEAR(RecetteTransport2[[#This Row],[Date de mesure]])</f>
        <v>1900</v>
      </c>
      <c r="Y42" s="47"/>
      <c r="Z42" s="50">
        <f>_xlfn.ISOWEEKNUM(RecetteTransport2[[#This Row],[Date envoie dossier mesure]])</f>
        <v>52</v>
      </c>
      <c r="AA42" s="50">
        <f>YEAR(RecetteTransport2[[#This Row],[Date envoie dossier mesure]])</f>
        <v>1900</v>
      </c>
      <c r="AB42" s="11"/>
      <c r="AC42" s="11"/>
      <c r="AE42" s="6" t="e">
        <f>RecetteTransport2[[#All],[Nb de reprises Optiques]]/#REF!</f>
        <v>#REF!</v>
      </c>
      <c r="AF42" s="6"/>
    </row>
    <row r="43" spans="1:32" x14ac:dyDescent="0.3">
      <c r="A43" t="s">
        <v>12</v>
      </c>
      <c r="B43" t="s">
        <v>19</v>
      </c>
      <c r="C43" t="s">
        <v>42</v>
      </c>
      <c r="D43" t="s">
        <v>424</v>
      </c>
      <c r="G43" s="11" t="s">
        <v>29</v>
      </c>
      <c r="H43" s="11"/>
      <c r="I43" s="11"/>
      <c r="J43" s="11">
        <f>RecetteTransport2[[#All],[Fibres TC NOK]]</f>
        <v>0</v>
      </c>
      <c r="K43" s="50">
        <f>RecetteTransport2[[#All],[Valeur Critique]]</f>
        <v>0</v>
      </c>
      <c r="L43" s="50">
        <f t="shared" si="1"/>
        <v>0</v>
      </c>
      <c r="N43" t="s">
        <v>65</v>
      </c>
      <c r="P43" s="11">
        <f xml:space="preserve"> _xlfn.ISOWEEKNUM(RecetteTransport2[[#This Row],[Date validation Optique]])</f>
        <v>52</v>
      </c>
      <c r="Q43" s="11">
        <f>YEAR(RecetteTransport2[[#This Row],[Date validation Optique]])</f>
        <v>1900</v>
      </c>
      <c r="R43" t="s">
        <v>65</v>
      </c>
      <c r="S43" s="2">
        <v>44265</v>
      </c>
      <c r="T43" s="50">
        <f>_xlfn.ISOWEEKNUM(RecetteTransport2[[#This Row],[Date Achevement  Mécanique]])</f>
        <v>10</v>
      </c>
      <c r="U43" s="50">
        <f>YEAR(RecetteTransport2[[#This Row],[Date Achevement  Mécanique]])</f>
        <v>2021</v>
      </c>
      <c r="V43" s="2"/>
      <c r="W43" s="50">
        <f>_xlfn.ISOWEEKNUM(RecetteTransport2[[#This Row],[Date de mesure]])</f>
        <v>52</v>
      </c>
      <c r="X43" s="11">
        <f>YEAR(RecetteTransport2[[#This Row],[Date de mesure]])</f>
        <v>1900</v>
      </c>
      <c r="Z43" s="50">
        <f>_xlfn.ISOWEEKNUM(RecetteTransport2[[#This Row],[Date envoie dossier mesure]])</f>
        <v>52</v>
      </c>
      <c r="AA43" s="50">
        <f>YEAR(RecetteTransport2[[#This Row],[Date envoie dossier mesure]])</f>
        <v>1900</v>
      </c>
      <c r="AB43" s="11"/>
      <c r="AC43" s="11"/>
      <c r="AE43" s="6" t="e">
        <f>RecetteTransport2[[#All],[Nb de reprises Optiques]]/#REF!</f>
        <v>#REF!</v>
      </c>
      <c r="AF43" s="6"/>
    </row>
    <row r="44" spans="1:32" x14ac:dyDescent="0.3">
      <c r="A44" t="s">
        <v>12</v>
      </c>
      <c r="B44" t="s">
        <v>19</v>
      </c>
      <c r="C44" t="s">
        <v>42</v>
      </c>
      <c r="D44" t="s">
        <v>425</v>
      </c>
      <c r="G44" s="11" t="s">
        <v>29</v>
      </c>
      <c r="H44" s="11"/>
      <c r="I44" s="11"/>
      <c r="J44" s="11">
        <f>RecetteTransport2[[#All],[Fibres TC NOK]]</f>
        <v>0</v>
      </c>
      <c r="K44" s="50">
        <f>RecetteTransport2[[#All],[Valeur Critique]]</f>
        <v>0</v>
      </c>
      <c r="L44" s="50">
        <f t="shared" si="1"/>
        <v>0</v>
      </c>
      <c r="N44" t="s">
        <v>65</v>
      </c>
      <c r="P44" s="11">
        <f xml:space="preserve"> _xlfn.ISOWEEKNUM(RecetteTransport2[[#This Row],[Date validation Optique]])</f>
        <v>52</v>
      </c>
      <c r="Q44" s="11">
        <f>YEAR(RecetteTransport2[[#This Row],[Date validation Optique]])</f>
        <v>1900</v>
      </c>
      <c r="R44" t="s">
        <v>65</v>
      </c>
      <c r="S44" s="2">
        <v>44265</v>
      </c>
      <c r="T44" s="50">
        <f>_xlfn.ISOWEEKNUM(RecetteTransport2[[#This Row],[Date Achevement  Mécanique]])</f>
        <v>10</v>
      </c>
      <c r="U44" s="50">
        <f>YEAR(RecetteTransport2[[#This Row],[Date Achevement  Mécanique]])</f>
        <v>2021</v>
      </c>
      <c r="V44" s="2"/>
      <c r="W44" s="50">
        <f>_xlfn.ISOWEEKNUM(RecetteTransport2[[#This Row],[Date de mesure]])</f>
        <v>52</v>
      </c>
      <c r="X44" s="11">
        <f>YEAR(RecetteTransport2[[#This Row],[Date de mesure]])</f>
        <v>1900</v>
      </c>
      <c r="Z44" s="50">
        <f>_xlfn.ISOWEEKNUM(RecetteTransport2[[#This Row],[Date envoie dossier mesure]])</f>
        <v>52</v>
      </c>
      <c r="AA44" s="50">
        <f>YEAR(RecetteTransport2[[#This Row],[Date envoie dossier mesure]])</f>
        <v>1900</v>
      </c>
      <c r="AB44" s="11"/>
      <c r="AC44" s="11"/>
      <c r="AE44" s="6" t="e">
        <f>RecetteTransport2[[#All],[Nb de reprises Optiques]]/#REF!</f>
        <v>#REF!</v>
      </c>
      <c r="AF44" s="6"/>
    </row>
    <row r="45" spans="1:32" hidden="1" x14ac:dyDescent="0.3">
      <c r="A45" t="s">
        <v>12</v>
      </c>
      <c r="B45" t="s">
        <v>15</v>
      </c>
      <c r="C45" t="s">
        <v>123</v>
      </c>
      <c r="D45" t="s">
        <v>151</v>
      </c>
      <c r="E45">
        <v>4902306</v>
      </c>
      <c r="G45" s="11"/>
      <c r="H45" s="11" t="s">
        <v>29</v>
      </c>
      <c r="I45" s="11" t="s">
        <v>29</v>
      </c>
      <c r="J45" s="11">
        <f>RecetteTransport2[[#All],[Fibres TC NOK]]</f>
        <v>0</v>
      </c>
      <c r="K45" s="50">
        <f>RecetteTransport2[[#All],[Valeur Critique]]</f>
        <v>0</v>
      </c>
      <c r="L45" s="50">
        <f>AD:AD</f>
        <v>96</v>
      </c>
      <c r="N45" t="s">
        <v>65</v>
      </c>
      <c r="P45">
        <f xml:space="preserve"> _xlfn.ISOWEEKNUM(RecetteTransport2[[#This Row],[Date validation Optique]])</f>
        <v>52</v>
      </c>
      <c r="Q45">
        <f>YEAR(RecetteTransport2[[#This Row],[Date validation Optique]])</f>
        <v>1900</v>
      </c>
      <c r="R45" t="s">
        <v>65</v>
      </c>
      <c r="T45" s="50">
        <f>_xlfn.ISOWEEKNUM(RecetteTransport2[[#This Row],[Date Achevement  Mécanique]])</f>
        <v>52</v>
      </c>
      <c r="U45" s="50">
        <f>YEAR(RecetteTransport2[[#This Row],[Date Achevement  Mécanique]])</f>
        <v>1900</v>
      </c>
      <c r="V45" s="2"/>
      <c r="W45" s="50">
        <f>_xlfn.ISOWEEKNUM(RecetteTransport2[[#This Row],[Date de mesure]])</f>
        <v>52</v>
      </c>
      <c r="X45" s="11">
        <f>YEAR(RecetteTransport2[[#This Row],[Date de mesure]])</f>
        <v>1900</v>
      </c>
      <c r="Y45" s="2">
        <v>44179</v>
      </c>
      <c r="Z45" s="50">
        <f>_xlfn.ISOWEEKNUM(RecetteTransport2[[#This Row],[Date envoie dossier mesure]])</f>
        <v>51</v>
      </c>
      <c r="AA45" s="50">
        <f>YEAR(RecetteTransport2[[#This Row],[Date envoie dossier mesure]])</f>
        <v>2020</v>
      </c>
      <c r="AB45" s="11">
        <v>0</v>
      </c>
      <c r="AC45" s="11">
        <v>0</v>
      </c>
      <c r="AD45" s="50">
        <v>96</v>
      </c>
      <c r="AE45" s="6" t="e">
        <f>RecetteTransport2[[#All],[Nb de reprises Optiques]]/#REF!</f>
        <v>#REF!</v>
      </c>
      <c r="AF45" s="6"/>
    </row>
    <row r="46" spans="1:32" hidden="1" x14ac:dyDescent="0.3">
      <c r="A46" t="s">
        <v>12</v>
      </c>
      <c r="B46" t="s">
        <v>15</v>
      </c>
      <c r="C46" t="s">
        <v>123</v>
      </c>
      <c r="D46" t="s">
        <v>124</v>
      </c>
      <c r="G46" s="11"/>
      <c r="H46" s="11" t="s">
        <v>29</v>
      </c>
      <c r="I46" s="11" t="s">
        <v>29</v>
      </c>
      <c r="J46" s="11">
        <f>RecetteTransport2[[#All],[Fibres TC NOK]]</f>
        <v>0</v>
      </c>
      <c r="K46" s="50">
        <f>RecetteTransport2[[#All],[Valeur Critique]]</f>
        <v>0</v>
      </c>
      <c r="L46" s="50">
        <v>0</v>
      </c>
      <c r="N46" t="s">
        <v>389</v>
      </c>
      <c r="O46" s="2">
        <v>44253</v>
      </c>
      <c r="P46">
        <f xml:space="preserve"> _xlfn.ISOWEEKNUM(RecetteTransport2[[#This Row],[Date validation Optique]])</f>
        <v>8</v>
      </c>
      <c r="Q46">
        <f>YEAR(RecetteTransport2[[#This Row],[Date validation Optique]])</f>
        <v>2021</v>
      </c>
      <c r="R46" t="s">
        <v>65</v>
      </c>
      <c r="T46" s="50">
        <f>_xlfn.ISOWEEKNUM(RecetteTransport2[[#This Row],[Date Achevement  Mécanique]])</f>
        <v>52</v>
      </c>
      <c r="U46" s="50">
        <f>YEAR(RecetteTransport2[[#This Row],[Date Achevement  Mécanique]])</f>
        <v>1900</v>
      </c>
      <c r="V46" s="2"/>
      <c r="W46" s="50">
        <f>_xlfn.ISOWEEKNUM(RecetteTransport2[[#This Row],[Date de mesure]])</f>
        <v>52</v>
      </c>
      <c r="X46" s="11">
        <f>YEAR(RecetteTransport2[[#This Row],[Date de mesure]])</f>
        <v>1900</v>
      </c>
      <c r="Y46" s="2">
        <v>44179</v>
      </c>
      <c r="Z46" s="50">
        <f>_xlfn.ISOWEEKNUM(RecetteTransport2[[#This Row],[Date envoie dossier mesure]])</f>
        <v>51</v>
      </c>
      <c r="AA46" s="50">
        <f>YEAR(RecetteTransport2[[#This Row],[Date envoie dossier mesure]])</f>
        <v>2020</v>
      </c>
      <c r="AB46" s="11">
        <v>0</v>
      </c>
      <c r="AC46" s="11">
        <v>0</v>
      </c>
      <c r="AD46" s="50">
        <v>93</v>
      </c>
      <c r="AE46" s="6" t="e">
        <f>RecetteTransport2[[#All],[Nb de reprises Optiques]]/#REF!</f>
        <v>#REF!</v>
      </c>
      <c r="AF46" s="6"/>
    </row>
    <row r="47" spans="1:32" x14ac:dyDescent="0.3">
      <c r="A47" t="s">
        <v>12</v>
      </c>
      <c r="B47" t="s">
        <v>15</v>
      </c>
      <c r="D47" t="s">
        <v>451</v>
      </c>
      <c r="G47" s="11"/>
      <c r="H47" s="11"/>
      <c r="I47" s="11"/>
      <c r="J47" s="11">
        <f>RecetteTransport2[[#All],[Fibres TC NOK]]</f>
        <v>0</v>
      </c>
      <c r="K47" s="50">
        <f>RecetteTransport2[[#All],[Valeur Critique]]</f>
        <v>0</v>
      </c>
      <c r="L47" s="50">
        <f t="shared" ref="L47:L48" si="2">AD:AD</f>
        <v>0</v>
      </c>
      <c r="O47" s="2"/>
      <c r="P47" s="11">
        <f xml:space="preserve"> _xlfn.ISOWEEKNUM(RecetteTransport2[[#This Row],[Date validation Optique]])</f>
        <v>52</v>
      </c>
      <c r="Q47" s="11">
        <f>YEAR(RecetteTransport2[[#This Row],[Date validation Optique]])</f>
        <v>1900</v>
      </c>
      <c r="S47" s="47" t="e">
        <f>#REF!+10</f>
        <v>#REF!</v>
      </c>
      <c r="T47" s="50" t="e">
        <f>_xlfn.ISOWEEKNUM(RecetteTransport2[[#This Row],[Date Achevement  Mécanique]])</f>
        <v>#REF!</v>
      </c>
      <c r="U47" s="50" t="e">
        <f>YEAR(RecetteTransport2[[#This Row],[Date Achevement  Mécanique]])</f>
        <v>#REF!</v>
      </c>
      <c r="V47" s="47"/>
      <c r="W47" s="50">
        <f>_xlfn.ISOWEEKNUM(RecetteTransport2[[#This Row],[Date de mesure]])</f>
        <v>52</v>
      </c>
      <c r="X47" s="11">
        <f>YEAR(RecetteTransport2[[#This Row],[Date de mesure]])</f>
        <v>1900</v>
      </c>
      <c r="Y47" s="47"/>
      <c r="Z47" s="50">
        <f>_xlfn.ISOWEEKNUM(RecetteTransport2[[#This Row],[Date envoie dossier mesure]])</f>
        <v>52</v>
      </c>
      <c r="AA47" s="50">
        <f>YEAR(RecetteTransport2[[#This Row],[Date envoie dossier mesure]])</f>
        <v>1900</v>
      </c>
      <c r="AB47" s="11"/>
      <c r="AC47" s="11"/>
      <c r="AE47" s="6" t="e">
        <f>RecetteTransport2[[#All],[Nb de reprises Optiques]]/#REF!</f>
        <v>#REF!</v>
      </c>
      <c r="AF47" s="6"/>
    </row>
    <row r="48" spans="1:32" x14ac:dyDescent="0.3">
      <c r="A48" t="s">
        <v>12</v>
      </c>
      <c r="B48" t="s">
        <v>15</v>
      </c>
      <c r="D48" t="s">
        <v>452</v>
      </c>
      <c r="G48" s="11"/>
      <c r="H48" s="11"/>
      <c r="I48" s="11"/>
      <c r="J48" s="11">
        <f>RecetteTransport2[[#All],[Fibres TC NOK]]</f>
        <v>0</v>
      </c>
      <c r="K48" s="50">
        <f>RecetteTransport2[[#All],[Valeur Critique]]</f>
        <v>0</v>
      </c>
      <c r="L48" s="50">
        <f t="shared" si="2"/>
        <v>0</v>
      </c>
      <c r="O48" s="2"/>
      <c r="P48" s="11">
        <f xml:space="preserve"> _xlfn.ISOWEEKNUM(RecetteTransport2[[#This Row],[Date validation Optique]])</f>
        <v>52</v>
      </c>
      <c r="Q48" s="11">
        <f>YEAR(RecetteTransport2[[#This Row],[Date validation Optique]])</f>
        <v>1900</v>
      </c>
      <c r="S48" s="47" t="e">
        <f>#REF!+10</f>
        <v>#REF!</v>
      </c>
      <c r="T48" s="50" t="e">
        <f>_xlfn.ISOWEEKNUM(RecetteTransport2[[#This Row],[Date Achevement  Mécanique]])</f>
        <v>#REF!</v>
      </c>
      <c r="U48" s="50" t="e">
        <f>YEAR(RecetteTransport2[[#This Row],[Date Achevement  Mécanique]])</f>
        <v>#REF!</v>
      </c>
      <c r="V48" s="47"/>
      <c r="W48" s="50">
        <f>_xlfn.ISOWEEKNUM(RecetteTransport2[[#This Row],[Date de mesure]])</f>
        <v>52</v>
      </c>
      <c r="X48" s="11">
        <f>YEAR(RecetteTransport2[[#This Row],[Date de mesure]])</f>
        <v>1900</v>
      </c>
      <c r="Y48" s="47"/>
      <c r="Z48" s="50">
        <f>_xlfn.ISOWEEKNUM(RecetteTransport2[[#This Row],[Date envoie dossier mesure]])</f>
        <v>52</v>
      </c>
      <c r="AA48" s="50">
        <f>YEAR(RecetteTransport2[[#This Row],[Date envoie dossier mesure]])</f>
        <v>1900</v>
      </c>
      <c r="AB48" s="11"/>
      <c r="AC48" s="11"/>
      <c r="AE48" s="6" t="e">
        <f>RecetteTransport2[[#All],[Nb de reprises Optiques]]/#REF!</f>
        <v>#REF!</v>
      </c>
      <c r="AF48" s="6"/>
    </row>
    <row r="49" spans="1:32" hidden="1" x14ac:dyDescent="0.3">
      <c r="A49" t="s">
        <v>12</v>
      </c>
      <c r="B49" t="s">
        <v>15</v>
      </c>
      <c r="C49" t="s">
        <v>123</v>
      </c>
      <c r="D49" t="s">
        <v>190</v>
      </c>
      <c r="G49" s="11"/>
      <c r="H49" s="11" t="s">
        <v>29</v>
      </c>
      <c r="I49" s="11" t="s">
        <v>29</v>
      </c>
      <c r="J49" s="11">
        <f>RecetteTransport2[[#All],[Fibres TC NOK]]</f>
        <v>0</v>
      </c>
      <c r="K49" s="50">
        <f>RecetteTransport2[[#All],[Valeur Critique]]</f>
        <v>0</v>
      </c>
      <c r="L49" s="50">
        <v>0</v>
      </c>
      <c r="N49" t="s">
        <v>389</v>
      </c>
      <c r="O49" s="2">
        <v>44253</v>
      </c>
      <c r="P49">
        <f xml:space="preserve"> _xlfn.ISOWEEKNUM(RecetteTransport2[[#This Row],[Date validation Optique]])</f>
        <v>8</v>
      </c>
      <c r="Q49">
        <f>YEAR(RecetteTransport2[[#This Row],[Date validation Optique]])</f>
        <v>2021</v>
      </c>
      <c r="R49" t="s">
        <v>65</v>
      </c>
      <c r="T49" s="50">
        <f>_xlfn.ISOWEEKNUM(RecetteTransport2[[#This Row],[Date Achevement  Mécanique]])</f>
        <v>52</v>
      </c>
      <c r="U49" s="50">
        <f>YEAR(RecetteTransport2[[#This Row],[Date Achevement  Mécanique]])</f>
        <v>1900</v>
      </c>
      <c r="V49" s="2"/>
      <c r="W49" s="50">
        <f>_xlfn.ISOWEEKNUM(RecetteTransport2[[#This Row],[Date de mesure]])</f>
        <v>52</v>
      </c>
      <c r="X49" s="11">
        <f>YEAR(RecetteTransport2[[#This Row],[Date de mesure]])</f>
        <v>1900</v>
      </c>
      <c r="Y49" s="2">
        <v>44179</v>
      </c>
      <c r="Z49" s="50">
        <f>_xlfn.ISOWEEKNUM(RecetteTransport2[[#This Row],[Date envoie dossier mesure]])</f>
        <v>51</v>
      </c>
      <c r="AA49" s="50">
        <f>YEAR(RecetteTransport2[[#This Row],[Date envoie dossier mesure]])</f>
        <v>2020</v>
      </c>
      <c r="AB49" s="11">
        <v>0</v>
      </c>
      <c r="AC49" s="11">
        <v>0</v>
      </c>
      <c r="AD49" s="50">
        <v>76</v>
      </c>
      <c r="AE49" s="6" t="e">
        <f>RecetteTransport2[[#All],[Nb de reprises Optiques]]/#REF!</f>
        <v>#REF!</v>
      </c>
      <c r="AF49" s="6"/>
    </row>
    <row r="50" spans="1:32" x14ac:dyDescent="0.3">
      <c r="A50" t="s">
        <v>12</v>
      </c>
      <c r="B50" t="s">
        <v>15</v>
      </c>
      <c r="D50" t="s">
        <v>453</v>
      </c>
      <c r="G50" s="11"/>
      <c r="H50" s="11"/>
      <c r="I50" s="11"/>
      <c r="J50" s="11">
        <f>RecetteTransport2[[#All],[Fibres TC NOK]]</f>
        <v>0</v>
      </c>
      <c r="K50" s="50">
        <f>RecetteTransport2[[#All],[Valeur Critique]]</f>
        <v>0</v>
      </c>
      <c r="L50" s="50">
        <f>AD:AD</f>
        <v>0</v>
      </c>
      <c r="O50" s="2"/>
      <c r="P50" s="11">
        <f xml:space="preserve"> _xlfn.ISOWEEKNUM(RecetteTransport2[[#This Row],[Date validation Optique]])</f>
        <v>52</v>
      </c>
      <c r="Q50" s="11">
        <f>YEAR(RecetteTransport2[[#This Row],[Date validation Optique]])</f>
        <v>1900</v>
      </c>
      <c r="S50" s="47" t="e">
        <f>#REF!+10</f>
        <v>#REF!</v>
      </c>
      <c r="T50" s="50" t="e">
        <f>_xlfn.ISOWEEKNUM(RecetteTransport2[[#This Row],[Date Achevement  Mécanique]])</f>
        <v>#REF!</v>
      </c>
      <c r="U50" s="50" t="e">
        <f>YEAR(RecetteTransport2[[#This Row],[Date Achevement  Mécanique]])</f>
        <v>#REF!</v>
      </c>
      <c r="V50" s="47"/>
      <c r="W50" s="50">
        <f>_xlfn.ISOWEEKNUM(RecetteTransport2[[#This Row],[Date de mesure]])</f>
        <v>52</v>
      </c>
      <c r="X50" s="11">
        <f>YEAR(RecetteTransport2[[#This Row],[Date de mesure]])</f>
        <v>1900</v>
      </c>
      <c r="Y50" s="47"/>
      <c r="Z50" s="50">
        <f>_xlfn.ISOWEEKNUM(RecetteTransport2[[#This Row],[Date envoie dossier mesure]])</f>
        <v>52</v>
      </c>
      <c r="AA50" s="50">
        <f>YEAR(RecetteTransport2[[#This Row],[Date envoie dossier mesure]])</f>
        <v>1900</v>
      </c>
      <c r="AB50" s="11"/>
      <c r="AC50" s="11"/>
      <c r="AE50" s="6" t="e">
        <f>RecetteTransport2[[#All],[Nb de reprises Optiques]]/#REF!</f>
        <v>#REF!</v>
      </c>
      <c r="AF50" s="6"/>
    </row>
    <row r="51" spans="1:32" hidden="1" x14ac:dyDescent="0.3">
      <c r="A51" t="s">
        <v>12</v>
      </c>
      <c r="B51" t="s">
        <v>15</v>
      </c>
      <c r="C51" t="s">
        <v>123</v>
      </c>
      <c r="D51" t="s">
        <v>192</v>
      </c>
      <c r="G51" s="11"/>
      <c r="H51" s="11" t="s">
        <v>29</v>
      </c>
      <c r="I51" s="11" t="s">
        <v>29</v>
      </c>
      <c r="J51" s="11">
        <f>RecetteTransport2[[#All],[Fibres TC NOK]]</f>
        <v>1</v>
      </c>
      <c r="K51" s="50">
        <f>RecetteTransport2[[#All],[Valeur Critique]]</f>
        <v>0</v>
      </c>
      <c r="L51" s="50">
        <f>AD:AD</f>
        <v>75</v>
      </c>
      <c r="N51" t="s">
        <v>65</v>
      </c>
      <c r="P51">
        <f xml:space="preserve"> _xlfn.ISOWEEKNUM(RecetteTransport2[[#This Row],[Date validation Optique]])</f>
        <v>52</v>
      </c>
      <c r="Q51">
        <f>YEAR(RecetteTransport2[[#This Row],[Date validation Optique]])</f>
        <v>1900</v>
      </c>
      <c r="R51" t="s">
        <v>65</v>
      </c>
      <c r="T51" s="50">
        <f>_xlfn.ISOWEEKNUM(RecetteTransport2[[#This Row],[Date Achevement  Mécanique]])</f>
        <v>52</v>
      </c>
      <c r="U51" s="50">
        <f>YEAR(RecetteTransport2[[#This Row],[Date Achevement  Mécanique]])</f>
        <v>1900</v>
      </c>
      <c r="V51" s="2"/>
      <c r="W51" s="50">
        <f>_xlfn.ISOWEEKNUM(RecetteTransport2[[#This Row],[Date de mesure]])</f>
        <v>52</v>
      </c>
      <c r="X51" s="11">
        <f>YEAR(RecetteTransport2[[#This Row],[Date de mesure]])</f>
        <v>1900</v>
      </c>
      <c r="Y51" s="2">
        <v>44179</v>
      </c>
      <c r="Z51" s="50">
        <f>_xlfn.ISOWEEKNUM(RecetteTransport2[[#This Row],[Date envoie dossier mesure]])</f>
        <v>51</v>
      </c>
      <c r="AA51" s="50">
        <f>YEAR(RecetteTransport2[[#This Row],[Date envoie dossier mesure]])</f>
        <v>2020</v>
      </c>
      <c r="AB51" s="11">
        <v>1</v>
      </c>
      <c r="AC51" s="11">
        <v>0</v>
      </c>
      <c r="AD51" s="50">
        <v>75</v>
      </c>
      <c r="AE51" s="6" t="e">
        <f>RecetteTransport2[[#All],[Nb de reprises Optiques]]/#REF!</f>
        <v>#REF!</v>
      </c>
      <c r="AF51" s="6"/>
    </row>
    <row r="52" spans="1:32" hidden="1" x14ac:dyDescent="0.3">
      <c r="A52" t="s">
        <v>12</v>
      </c>
      <c r="B52" t="s">
        <v>15</v>
      </c>
      <c r="C52" t="s">
        <v>123</v>
      </c>
      <c r="D52" t="s">
        <v>153</v>
      </c>
      <c r="G52" s="11"/>
      <c r="H52" s="11" t="s">
        <v>29</v>
      </c>
      <c r="I52" s="11" t="s">
        <v>29</v>
      </c>
      <c r="J52" s="11">
        <v>0</v>
      </c>
      <c r="K52" s="50">
        <v>0</v>
      </c>
      <c r="L52" s="50">
        <v>0</v>
      </c>
      <c r="N52" t="s">
        <v>389</v>
      </c>
      <c r="O52" s="2">
        <v>44253</v>
      </c>
      <c r="P52">
        <f xml:space="preserve"> _xlfn.ISOWEEKNUM(RecetteTransport2[[#This Row],[Date validation Optique]])</f>
        <v>8</v>
      </c>
      <c r="Q52">
        <f>YEAR(RecetteTransport2[[#This Row],[Date validation Optique]])</f>
        <v>2021</v>
      </c>
      <c r="R52" t="s">
        <v>65</v>
      </c>
      <c r="T52" s="50">
        <f>_xlfn.ISOWEEKNUM(RecetteTransport2[[#This Row],[Date Achevement  Mécanique]])</f>
        <v>52</v>
      </c>
      <c r="U52" s="50">
        <f>YEAR(RecetteTransport2[[#This Row],[Date Achevement  Mécanique]])</f>
        <v>1900</v>
      </c>
      <c r="V52" s="2"/>
      <c r="W52" s="50">
        <f>_xlfn.ISOWEEKNUM(RecetteTransport2[[#This Row],[Date de mesure]])</f>
        <v>52</v>
      </c>
      <c r="X52" s="11">
        <f>YEAR(RecetteTransport2[[#This Row],[Date de mesure]])</f>
        <v>1900</v>
      </c>
      <c r="Y52" s="2">
        <v>44179</v>
      </c>
      <c r="Z52" s="50">
        <f>_xlfn.ISOWEEKNUM(RecetteTransport2[[#This Row],[Date envoie dossier mesure]])</f>
        <v>51</v>
      </c>
      <c r="AA52" s="50">
        <f>YEAR(RecetteTransport2[[#This Row],[Date envoie dossier mesure]])</f>
        <v>2020</v>
      </c>
      <c r="AB52" s="11">
        <v>2</v>
      </c>
      <c r="AC52" s="11">
        <v>1</v>
      </c>
      <c r="AD52" s="50">
        <v>105</v>
      </c>
      <c r="AE52" s="6" t="e">
        <f>RecetteTransport2[[#All],[Nb de reprises Optiques]]/#REF!</f>
        <v>#REF!</v>
      </c>
      <c r="AF52" s="6"/>
    </row>
    <row r="53" spans="1:32" x14ac:dyDescent="0.3">
      <c r="A53" t="s">
        <v>12</v>
      </c>
      <c r="B53" t="s">
        <v>15</v>
      </c>
      <c r="D53" t="s">
        <v>454</v>
      </c>
      <c r="G53" s="11"/>
      <c r="H53" s="11"/>
      <c r="I53" s="11"/>
      <c r="J53" s="11">
        <f>RecetteTransport2[[#All],[Fibres TC NOK]]</f>
        <v>0</v>
      </c>
      <c r="K53" s="50">
        <f>RecetteTransport2[[#All],[Valeur Critique]]</f>
        <v>0</v>
      </c>
      <c r="L53" s="50">
        <f t="shared" ref="L53:L54" si="3">AD:AD</f>
        <v>0</v>
      </c>
      <c r="O53" s="2"/>
      <c r="P53" s="11">
        <f xml:space="preserve"> _xlfn.ISOWEEKNUM(RecetteTransport2[[#This Row],[Date validation Optique]])</f>
        <v>52</v>
      </c>
      <c r="Q53" s="11">
        <f>YEAR(RecetteTransport2[[#This Row],[Date validation Optique]])</f>
        <v>1900</v>
      </c>
      <c r="S53" s="47" t="e">
        <f>#REF!+10</f>
        <v>#REF!</v>
      </c>
      <c r="T53" s="50" t="e">
        <f>_xlfn.ISOWEEKNUM(RecetteTransport2[[#This Row],[Date Achevement  Mécanique]])</f>
        <v>#REF!</v>
      </c>
      <c r="U53" s="50" t="e">
        <f>YEAR(RecetteTransport2[[#This Row],[Date Achevement  Mécanique]])</f>
        <v>#REF!</v>
      </c>
      <c r="V53" s="47"/>
      <c r="W53" s="50">
        <f>_xlfn.ISOWEEKNUM(RecetteTransport2[[#This Row],[Date de mesure]])</f>
        <v>52</v>
      </c>
      <c r="X53" s="11">
        <f>YEAR(RecetteTransport2[[#This Row],[Date de mesure]])</f>
        <v>1900</v>
      </c>
      <c r="Y53" s="47"/>
      <c r="Z53" s="50">
        <f>_xlfn.ISOWEEKNUM(RecetteTransport2[[#This Row],[Date envoie dossier mesure]])</f>
        <v>52</v>
      </c>
      <c r="AA53" s="50">
        <f>YEAR(RecetteTransport2[[#This Row],[Date envoie dossier mesure]])</f>
        <v>1900</v>
      </c>
      <c r="AB53" s="11"/>
      <c r="AC53" s="11"/>
      <c r="AE53" s="6" t="e">
        <f>RecetteTransport2[[#All],[Nb de reprises Optiques]]/#REF!</f>
        <v>#REF!</v>
      </c>
      <c r="AF53" s="6"/>
    </row>
    <row r="54" spans="1:32" x14ac:dyDescent="0.3">
      <c r="A54" t="s">
        <v>12</v>
      </c>
      <c r="B54" t="s">
        <v>15</v>
      </c>
      <c r="D54" t="s">
        <v>455</v>
      </c>
      <c r="G54" s="11"/>
      <c r="H54" s="11"/>
      <c r="I54" s="11"/>
      <c r="J54" s="11">
        <f>RecetteTransport2[[#All],[Fibres TC NOK]]</f>
        <v>0</v>
      </c>
      <c r="K54" s="50">
        <f>RecetteTransport2[[#All],[Valeur Critique]]</f>
        <v>0</v>
      </c>
      <c r="L54" s="50">
        <f t="shared" si="3"/>
        <v>0</v>
      </c>
      <c r="O54" s="2"/>
      <c r="P54" s="11">
        <f xml:space="preserve"> _xlfn.ISOWEEKNUM(RecetteTransport2[[#This Row],[Date validation Optique]])</f>
        <v>52</v>
      </c>
      <c r="Q54" s="11">
        <f>YEAR(RecetteTransport2[[#This Row],[Date validation Optique]])</f>
        <v>1900</v>
      </c>
      <c r="S54" s="47" t="e">
        <f>#REF!+10</f>
        <v>#REF!</v>
      </c>
      <c r="T54" s="50" t="e">
        <f>_xlfn.ISOWEEKNUM(RecetteTransport2[[#This Row],[Date Achevement  Mécanique]])</f>
        <v>#REF!</v>
      </c>
      <c r="U54" s="50" t="e">
        <f>YEAR(RecetteTransport2[[#This Row],[Date Achevement  Mécanique]])</f>
        <v>#REF!</v>
      </c>
      <c r="V54" s="47"/>
      <c r="W54" s="50">
        <f>_xlfn.ISOWEEKNUM(RecetteTransport2[[#This Row],[Date de mesure]])</f>
        <v>52</v>
      </c>
      <c r="X54" s="11">
        <f>YEAR(RecetteTransport2[[#This Row],[Date de mesure]])</f>
        <v>1900</v>
      </c>
      <c r="Y54" s="47"/>
      <c r="Z54" s="50">
        <f>_xlfn.ISOWEEKNUM(RecetteTransport2[[#This Row],[Date envoie dossier mesure]])</f>
        <v>52</v>
      </c>
      <c r="AA54" s="50">
        <f>YEAR(RecetteTransport2[[#This Row],[Date envoie dossier mesure]])</f>
        <v>1900</v>
      </c>
      <c r="AB54" s="11"/>
      <c r="AC54" s="11"/>
      <c r="AE54" s="6" t="e">
        <f>RecetteTransport2[[#All],[Nb de reprises Optiques]]/#REF!</f>
        <v>#REF!</v>
      </c>
      <c r="AF54" s="6"/>
    </row>
    <row r="55" spans="1:32" hidden="1" x14ac:dyDescent="0.3">
      <c r="A55" t="s">
        <v>12</v>
      </c>
      <c r="B55" t="s">
        <v>15</v>
      </c>
      <c r="C55" t="s">
        <v>123</v>
      </c>
      <c r="D55" t="s">
        <v>282</v>
      </c>
      <c r="G55" s="11"/>
      <c r="H55" s="11" t="s">
        <v>29</v>
      </c>
      <c r="I55" s="11" t="s">
        <v>29</v>
      </c>
      <c r="J55" s="11">
        <f>RecetteTransport2[[#All],[Fibres TC NOK]]</f>
        <v>0</v>
      </c>
      <c r="K55" s="50">
        <f>RecetteTransport2[[#All],[Valeur Critique]]</f>
        <v>0</v>
      </c>
      <c r="L55" s="50">
        <f>AD:AD</f>
        <v>32</v>
      </c>
      <c r="N55" t="s">
        <v>65</v>
      </c>
      <c r="P55">
        <f xml:space="preserve"> _xlfn.ISOWEEKNUM(RecetteTransport2[[#This Row],[Date validation Optique]])</f>
        <v>52</v>
      </c>
      <c r="Q55">
        <f>YEAR(RecetteTransport2[[#This Row],[Date validation Optique]])</f>
        <v>1900</v>
      </c>
      <c r="T55" s="50">
        <f>_xlfn.ISOWEEKNUM(RecetteTransport2[[#This Row],[Date Achevement  Mécanique]])</f>
        <v>52</v>
      </c>
      <c r="U55" s="50">
        <f>YEAR(RecetteTransport2[[#This Row],[Date Achevement  Mécanique]])</f>
        <v>1900</v>
      </c>
      <c r="V55" s="2">
        <v>44258</v>
      </c>
      <c r="W55" s="50">
        <f>_xlfn.ISOWEEKNUM(RecetteTransport2[[#This Row],[Date de mesure]])</f>
        <v>9</v>
      </c>
      <c r="X55" s="11">
        <f>YEAR(RecetteTransport2[[#This Row],[Date de mesure]])</f>
        <v>2021</v>
      </c>
      <c r="Y55" s="2">
        <v>44260</v>
      </c>
      <c r="Z55" s="50">
        <f>_xlfn.ISOWEEKNUM(RecetteTransport2[[#This Row],[Date envoie dossier mesure]])</f>
        <v>9</v>
      </c>
      <c r="AA55" s="50">
        <f>YEAR(RecetteTransport2[[#This Row],[Date envoie dossier mesure]])</f>
        <v>2021</v>
      </c>
      <c r="AB55" s="11">
        <v>0</v>
      </c>
      <c r="AC55" s="11">
        <v>0</v>
      </c>
      <c r="AD55" s="50">
        <v>32</v>
      </c>
      <c r="AE55" s="6" t="e">
        <f>RecetteTransport2[[#All],[Nb de reprises Optiques]]/#REF!</f>
        <v>#REF!</v>
      </c>
      <c r="AF55" s="6"/>
    </row>
    <row r="56" spans="1:32" hidden="1" x14ac:dyDescent="0.3">
      <c r="A56" t="s">
        <v>12</v>
      </c>
      <c r="B56" t="s">
        <v>15</v>
      </c>
      <c r="C56" t="s">
        <v>123</v>
      </c>
      <c r="D56" t="s">
        <v>131</v>
      </c>
      <c r="E56">
        <v>4902321</v>
      </c>
      <c r="G56" s="11"/>
      <c r="H56" s="11" t="s">
        <v>29</v>
      </c>
      <c r="I56" s="11" t="s">
        <v>29</v>
      </c>
      <c r="J56" s="11">
        <f>RecetteTransport2[[#All],[Fibres TC NOK]]</f>
        <v>0</v>
      </c>
      <c r="K56" s="50">
        <f>RecetteTransport2[[#All],[Valeur Critique]]</f>
        <v>0</v>
      </c>
      <c r="L56" s="50">
        <v>0</v>
      </c>
      <c r="N56" t="s">
        <v>389</v>
      </c>
      <c r="O56" s="2">
        <v>44253</v>
      </c>
      <c r="P56">
        <f xml:space="preserve"> _xlfn.ISOWEEKNUM(RecetteTransport2[[#This Row],[Date validation Optique]])</f>
        <v>8</v>
      </c>
      <c r="Q56">
        <f>YEAR(RecetteTransport2[[#This Row],[Date validation Optique]])</f>
        <v>2021</v>
      </c>
      <c r="T56" s="50">
        <f>_xlfn.ISOWEEKNUM(RecetteTransport2[[#This Row],[Date Achevement  Mécanique]])</f>
        <v>52</v>
      </c>
      <c r="U56" s="50">
        <f>YEAR(RecetteTransport2[[#This Row],[Date Achevement  Mécanique]])</f>
        <v>1900</v>
      </c>
      <c r="V56" s="2"/>
      <c r="W56" s="50">
        <f>_xlfn.ISOWEEKNUM(RecetteTransport2[[#This Row],[Date de mesure]])</f>
        <v>52</v>
      </c>
      <c r="X56" s="11">
        <f>YEAR(RecetteTransport2[[#This Row],[Date de mesure]])</f>
        <v>1900</v>
      </c>
      <c r="Y56" s="2">
        <v>44179</v>
      </c>
      <c r="Z56" s="50">
        <f>_xlfn.ISOWEEKNUM(RecetteTransport2[[#This Row],[Date envoie dossier mesure]])</f>
        <v>51</v>
      </c>
      <c r="AA56" s="50">
        <f>YEAR(RecetteTransport2[[#This Row],[Date envoie dossier mesure]])</f>
        <v>2020</v>
      </c>
      <c r="AB56" s="11">
        <v>0</v>
      </c>
      <c r="AC56" s="11">
        <v>0</v>
      </c>
      <c r="AD56" s="50">
        <v>51</v>
      </c>
      <c r="AE56" s="6" t="e">
        <f>RecetteTransport2[[#All],[Nb de reprises Optiques]]/#REF!</f>
        <v>#REF!</v>
      </c>
      <c r="AF56" s="6"/>
    </row>
    <row r="57" spans="1:32" x14ac:dyDescent="0.3">
      <c r="A57" t="s">
        <v>12</v>
      </c>
      <c r="B57" t="s">
        <v>15</v>
      </c>
      <c r="D57" t="s">
        <v>456</v>
      </c>
      <c r="G57" s="11"/>
      <c r="H57" s="11"/>
      <c r="I57" s="11"/>
      <c r="J57" s="11">
        <f>RecetteTransport2[[#All],[Fibres TC NOK]]</f>
        <v>0</v>
      </c>
      <c r="K57" s="50">
        <f>RecetteTransport2[[#All],[Valeur Critique]]</f>
        <v>0</v>
      </c>
      <c r="L57" s="50">
        <f>AD:AD</f>
        <v>0</v>
      </c>
      <c r="O57" s="2"/>
      <c r="P57" s="11">
        <f xml:space="preserve"> _xlfn.ISOWEEKNUM(RecetteTransport2[[#This Row],[Date validation Optique]])</f>
        <v>52</v>
      </c>
      <c r="Q57" s="11">
        <f>YEAR(RecetteTransport2[[#This Row],[Date validation Optique]])</f>
        <v>1900</v>
      </c>
      <c r="S57" s="47" t="e">
        <f>#REF!+10</f>
        <v>#REF!</v>
      </c>
      <c r="T57" s="50" t="e">
        <f>_xlfn.ISOWEEKNUM(RecetteTransport2[[#This Row],[Date Achevement  Mécanique]])</f>
        <v>#REF!</v>
      </c>
      <c r="U57" s="50" t="e">
        <f>YEAR(RecetteTransport2[[#This Row],[Date Achevement  Mécanique]])</f>
        <v>#REF!</v>
      </c>
      <c r="V57" s="47"/>
      <c r="W57" s="50">
        <f>_xlfn.ISOWEEKNUM(RecetteTransport2[[#This Row],[Date de mesure]])</f>
        <v>52</v>
      </c>
      <c r="X57" s="11">
        <f>YEAR(RecetteTransport2[[#This Row],[Date de mesure]])</f>
        <v>1900</v>
      </c>
      <c r="Y57" s="47"/>
      <c r="Z57" s="50">
        <f>_xlfn.ISOWEEKNUM(RecetteTransport2[[#This Row],[Date envoie dossier mesure]])</f>
        <v>52</v>
      </c>
      <c r="AA57" s="50">
        <f>YEAR(RecetteTransport2[[#This Row],[Date envoie dossier mesure]])</f>
        <v>1900</v>
      </c>
      <c r="AB57" s="11"/>
      <c r="AC57" s="11"/>
      <c r="AE57" s="6" t="e">
        <f>RecetteTransport2[[#All],[Nb de reprises Optiques]]/#REF!</f>
        <v>#REF!</v>
      </c>
      <c r="AF57" s="6"/>
    </row>
    <row r="58" spans="1:32" hidden="1" x14ac:dyDescent="0.3">
      <c r="A58" t="s">
        <v>12</v>
      </c>
      <c r="B58" t="s">
        <v>63</v>
      </c>
      <c r="C58" t="s">
        <v>161</v>
      </c>
      <c r="D58" t="s">
        <v>164</v>
      </c>
      <c r="E58" t="s">
        <v>183</v>
      </c>
      <c r="G58" s="11"/>
      <c r="H58" s="11" t="s">
        <v>29</v>
      </c>
      <c r="I58" s="11" t="s">
        <v>29</v>
      </c>
      <c r="J58" s="11">
        <f>RecetteTransport2[[#All],[Fibres TC NOK]]</f>
        <v>0</v>
      </c>
      <c r="K58" s="50">
        <f>RecetteTransport2[[#All],[Valeur Critique]]</f>
        <v>0</v>
      </c>
      <c r="L58" s="50">
        <f>AD:AD</f>
        <v>3</v>
      </c>
      <c r="N58" t="s">
        <v>65</v>
      </c>
      <c r="P58">
        <f xml:space="preserve"> _xlfn.ISOWEEKNUM(RecetteTransport2[[#This Row],[Date validation Optique]])</f>
        <v>52</v>
      </c>
      <c r="Q58">
        <f>YEAR(RecetteTransport2[[#This Row],[Date validation Optique]])</f>
        <v>1900</v>
      </c>
      <c r="T58" s="50">
        <f>_xlfn.ISOWEEKNUM(RecetteTransport2[[#This Row],[Date Achevement  Mécanique]])</f>
        <v>52</v>
      </c>
      <c r="U58" s="50">
        <f>YEAR(RecetteTransport2[[#This Row],[Date Achevement  Mécanique]])</f>
        <v>1900</v>
      </c>
      <c r="V58" s="2"/>
      <c r="W58" s="50">
        <f>_xlfn.ISOWEEKNUM(RecetteTransport2[[#This Row],[Date de mesure]])</f>
        <v>52</v>
      </c>
      <c r="X58" s="11">
        <f>YEAR(RecetteTransport2[[#This Row],[Date de mesure]])</f>
        <v>1900</v>
      </c>
      <c r="Y58" s="2">
        <v>44179</v>
      </c>
      <c r="Z58" s="50">
        <f>_xlfn.ISOWEEKNUM(RecetteTransport2[[#This Row],[Date envoie dossier mesure]])</f>
        <v>51</v>
      </c>
      <c r="AA58" s="50">
        <f>YEAR(RecetteTransport2[[#This Row],[Date envoie dossier mesure]])</f>
        <v>2020</v>
      </c>
      <c r="AB58" s="11">
        <v>0</v>
      </c>
      <c r="AC58" s="11">
        <v>0</v>
      </c>
      <c r="AD58" s="50">
        <v>3</v>
      </c>
      <c r="AE58" s="6" t="e">
        <f>RecetteTransport2[[#All],[Nb de reprises Optiques]]/#REF!</f>
        <v>#REF!</v>
      </c>
      <c r="AF58" s="6"/>
    </row>
    <row r="59" spans="1:32" x14ac:dyDescent="0.3">
      <c r="A59" t="s">
        <v>12</v>
      </c>
      <c r="B59" t="s">
        <v>15</v>
      </c>
      <c r="D59" t="s">
        <v>457</v>
      </c>
      <c r="G59" s="11"/>
      <c r="H59" s="11"/>
      <c r="I59" s="11"/>
      <c r="J59" s="11">
        <f>RecetteTransport2[[#All],[Fibres TC NOK]]</f>
        <v>0</v>
      </c>
      <c r="K59" s="50">
        <f>RecetteTransport2[[#All],[Valeur Critique]]</f>
        <v>0</v>
      </c>
      <c r="L59" s="50">
        <f>AD:AD</f>
        <v>0</v>
      </c>
      <c r="P59" s="11">
        <f xml:space="preserve"> _xlfn.ISOWEEKNUM(RecetteTransport2[[#This Row],[Date validation Optique]])</f>
        <v>52</v>
      </c>
      <c r="Q59" s="11">
        <f>YEAR(RecetteTransport2[[#This Row],[Date validation Optique]])</f>
        <v>1900</v>
      </c>
      <c r="S59" s="47" t="e">
        <f>#REF!+10</f>
        <v>#REF!</v>
      </c>
      <c r="T59" s="50" t="e">
        <f>_xlfn.ISOWEEKNUM(RecetteTransport2[[#This Row],[Date Achevement  Mécanique]])</f>
        <v>#REF!</v>
      </c>
      <c r="U59" s="50" t="e">
        <f>YEAR(RecetteTransport2[[#This Row],[Date Achevement  Mécanique]])</f>
        <v>#REF!</v>
      </c>
      <c r="V59" s="47"/>
      <c r="W59" s="50">
        <f>_xlfn.ISOWEEKNUM(RecetteTransport2[[#This Row],[Date de mesure]])</f>
        <v>52</v>
      </c>
      <c r="X59" s="11">
        <f>YEAR(RecetteTransport2[[#This Row],[Date de mesure]])</f>
        <v>1900</v>
      </c>
      <c r="Y59" s="47"/>
      <c r="Z59" s="50">
        <f>_xlfn.ISOWEEKNUM(RecetteTransport2[[#This Row],[Date envoie dossier mesure]])</f>
        <v>52</v>
      </c>
      <c r="AA59" s="50">
        <f>YEAR(RecetteTransport2[[#This Row],[Date envoie dossier mesure]])</f>
        <v>1900</v>
      </c>
      <c r="AB59" s="11"/>
      <c r="AC59" s="11"/>
      <c r="AE59" s="6" t="e">
        <f>RecetteTransport2[[#All],[Nb de reprises Optiques]]/#REF!</f>
        <v>#REF!</v>
      </c>
      <c r="AF59" s="6"/>
    </row>
    <row r="60" spans="1:32" hidden="1" x14ac:dyDescent="0.3">
      <c r="A60" t="s">
        <v>12</v>
      </c>
      <c r="B60" t="s">
        <v>15</v>
      </c>
      <c r="C60" t="s">
        <v>133</v>
      </c>
      <c r="D60" t="s">
        <v>434</v>
      </c>
      <c r="G60" s="11"/>
      <c r="H60" s="11" t="s">
        <v>29</v>
      </c>
      <c r="I60" s="11"/>
      <c r="J60" s="11">
        <f>RecetteTransport2[[#All],[Fibres TC NOK]]</f>
        <v>0</v>
      </c>
      <c r="K60" s="50">
        <f>RecetteTransport2[[#All],[Valeur Critique]]</f>
        <v>0</v>
      </c>
      <c r="L60" s="50">
        <f>AD:AD</f>
        <v>0</v>
      </c>
      <c r="P60" s="11">
        <f xml:space="preserve"> _xlfn.ISOWEEKNUM(RecetteTransport2[[#This Row],[Date validation Optique]])</f>
        <v>52</v>
      </c>
      <c r="Q60" s="11">
        <f>YEAR(RecetteTransport2[[#This Row],[Date validation Optique]])</f>
        <v>1900</v>
      </c>
      <c r="S60" s="47" t="e">
        <f>#REF!+10</f>
        <v>#REF!</v>
      </c>
      <c r="T60" s="50" t="e">
        <f>_xlfn.ISOWEEKNUM(RecetteTransport2[[#This Row],[Date Achevement  Mécanique]])</f>
        <v>#REF!</v>
      </c>
      <c r="U60" s="50" t="e">
        <f>YEAR(RecetteTransport2[[#This Row],[Date Achevement  Mécanique]])</f>
        <v>#REF!</v>
      </c>
      <c r="V60" s="2">
        <v>44270</v>
      </c>
      <c r="W60" s="50">
        <f>_xlfn.ISOWEEKNUM(RecetteTransport2[[#This Row],[Date de mesure]])</f>
        <v>11</v>
      </c>
      <c r="X60" s="11">
        <f>YEAR(RecetteTransport2[[#This Row],[Date de mesure]])</f>
        <v>2021</v>
      </c>
      <c r="Z60" s="50">
        <f>_xlfn.ISOWEEKNUM(RecetteTransport2[[#This Row],[Date envoie dossier mesure]])</f>
        <v>52</v>
      </c>
      <c r="AA60" s="50">
        <f>YEAR(RecetteTransport2[[#This Row],[Date envoie dossier mesure]])</f>
        <v>1900</v>
      </c>
      <c r="AB60" s="11"/>
      <c r="AC60" s="11"/>
      <c r="AE60" s="6" t="e">
        <f>RecetteTransport2[[#All],[Nb de reprises Optiques]]/#REF!</f>
        <v>#REF!</v>
      </c>
      <c r="AF60" s="6"/>
    </row>
    <row r="61" spans="1:32" hidden="1" x14ac:dyDescent="0.3">
      <c r="A61" t="s">
        <v>12</v>
      </c>
      <c r="B61" t="s">
        <v>15</v>
      </c>
      <c r="C61" t="s">
        <v>133</v>
      </c>
      <c r="D61" t="s">
        <v>435</v>
      </c>
      <c r="G61" s="11"/>
      <c r="H61" s="11" t="s">
        <v>29</v>
      </c>
      <c r="I61" s="11"/>
      <c r="J61" s="11">
        <f>RecetteTransport2[[#All],[Fibres TC NOK]]</f>
        <v>0</v>
      </c>
      <c r="K61" s="50">
        <f>RecetteTransport2[[#All],[Valeur Critique]]</f>
        <v>0</v>
      </c>
      <c r="L61" s="50">
        <f>AD:AD</f>
        <v>0</v>
      </c>
      <c r="P61" s="11">
        <f xml:space="preserve"> _xlfn.ISOWEEKNUM(RecetteTransport2[[#This Row],[Date validation Optique]])</f>
        <v>52</v>
      </c>
      <c r="Q61" s="11">
        <f>YEAR(RecetteTransport2[[#This Row],[Date validation Optique]])</f>
        <v>1900</v>
      </c>
      <c r="S61" s="47" t="e">
        <f>#REF!+10</f>
        <v>#REF!</v>
      </c>
      <c r="T61" s="50" t="e">
        <f>_xlfn.ISOWEEKNUM(RecetteTransport2[[#This Row],[Date Achevement  Mécanique]])</f>
        <v>#REF!</v>
      </c>
      <c r="U61" s="50" t="e">
        <f>YEAR(RecetteTransport2[[#This Row],[Date Achevement  Mécanique]])</f>
        <v>#REF!</v>
      </c>
      <c r="V61" s="2">
        <v>44270</v>
      </c>
      <c r="W61" s="50">
        <f>_xlfn.ISOWEEKNUM(RecetteTransport2[[#This Row],[Date de mesure]])</f>
        <v>11</v>
      </c>
      <c r="X61" s="11">
        <f>YEAR(RecetteTransport2[[#This Row],[Date de mesure]])</f>
        <v>2021</v>
      </c>
      <c r="Z61" s="50">
        <f>_xlfn.ISOWEEKNUM(RecetteTransport2[[#This Row],[Date envoie dossier mesure]])</f>
        <v>52</v>
      </c>
      <c r="AA61" s="50">
        <f>YEAR(RecetteTransport2[[#This Row],[Date envoie dossier mesure]])</f>
        <v>1900</v>
      </c>
      <c r="AB61" s="11"/>
      <c r="AC61" s="11"/>
      <c r="AE61" s="6" t="e">
        <f>RecetteTransport2[[#All],[Nb de reprises Optiques]]/#REF!</f>
        <v>#REF!</v>
      </c>
      <c r="AF61" s="6"/>
    </row>
    <row r="62" spans="1:32" hidden="1" x14ac:dyDescent="0.3">
      <c r="A62" t="s">
        <v>12</v>
      </c>
      <c r="B62" t="s">
        <v>15</v>
      </c>
      <c r="C62" t="s">
        <v>133</v>
      </c>
      <c r="D62" t="s">
        <v>436</v>
      </c>
      <c r="G62" s="11"/>
      <c r="H62" s="11" t="s">
        <v>29</v>
      </c>
      <c r="I62" s="11"/>
      <c r="J62" s="11">
        <f>RecetteTransport2[[#All],[Fibres TC NOK]]</f>
        <v>0</v>
      </c>
      <c r="K62" s="50">
        <f>RecetteTransport2[[#All],[Valeur Critique]]</f>
        <v>0</v>
      </c>
      <c r="L62" s="50">
        <f>AD:AD</f>
        <v>0</v>
      </c>
      <c r="P62" s="11">
        <f xml:space="preserve"> _xlfn.ISOWEEKNUM(RecetteTransport2[[#This Row],[Date validation Optique]])</f>
        <v>52</v>
      </c>
      <c r="Q62" s="11">
        <f>YEAR(RecetteTransport2[[#This Row],[Date validation Optique]])</f>
        <v>1900</v>
      </c>
      <c r="S62" s="47" t="e">
        <f>#REF!+10</f>
        <v>#REF!</v>
      </c>
      <c r="T62" s="50" t="e">
        <f>_xlfn.ISOWEEKNUM(RecetteTransport2[[#This Row],[Date Achevement  Mécanique]])</f>
        <v>#REF!</v>
      </c>
      <c r="U62" s="50" t="e">
        <f>YEAR(RecetteTransport2[[#This Row],[Date Achevement  Mécanique]])</f>
        <v>#REF!</v>
      </c>
      <c r="V62" s="2">
        <v>44270</v>
      </c>
      <c r="W62" s="50">
        <f>_xlfn.ISOWEEKNUM(RecetteTransport2[[#This Row],[Date de mesure]])</f>
        <v>11</v>
      </c>
      <c r="X62" s="11">
        <f>YEAR(RecetteTransport2[[#This Row],[Date de mesure]])</f>
        <v>2021</v>
      </c>
      <c r="Z62" s="50">
        <f>_xlfn.ISOWEEKNUM(RecetteTransport2[[#This Row],[Date envoie dossier mesure]])</f>
        <v>52</v>
      </c>
      <c r="AA62" s="50">
        <f>YEAR(RecetteTransport2[[#This Row],[Date envoie dossier mesure]])</f>
        <v>1900</v>
      </c>
      <c r="AB62" s="11"/>
      <c r="AC62" s="11"/>
      <c r="AE62" s="6" t="e">
        <f>RecetteTransport2[[#All],[Nb de reprises Optiques]]/#REF!</f>
        <v>#REF!</v>
      </c>
      <c r="AF62" s="6"/>
    </row>
    <row r="63" spans="1:32" x14ac:dyDescent="0.3">
      <c r="A63" t="s">
        <v>12</v>
      </c>
      <c r="B63" t="s">
        <v>15</v>
      </c>
      <c r="C63" t="s">
        <v>133</v>
      </c>
      <c r="D63" t="s">
        <v>433</v>
      </c>
      <c r="G63" s="11"/>
      <c r="H63" s="11"/>
      <c r="I63" s="11"/>
      <c r="J63" s="11">
        <f>RecetteTransport2[[#All],[Fibres TC NOK]]</f>
        <v>0</v>
      </c>
      <c r="K63" s="50">
        <f>RecetteTransport2[[#All],[Valeur Critique]]</f>
        <v>0</v>
      </c>
      <c r="L63" s="50">
        <f>AD:AD</f>
        <v>0</v>
      </c>
      <c r="P63" s="11">
        <f xml:space="preserve"> _xlfn.ISOWEEKNUM(RecetteTransport2[[#This Row],[Date validation Optique]])</f>
        <v>52</v>
      </c>
      <c r="Q63" s="11">
        <f>YEAR(RecetteTransport2[[#This Row],[Date validation Optique]])</f>
        <v>1900</v>
      </c>
      <c r="S63" s="47" t="e">
        <f>#REF!+10</f>
        <v>#REF!</v>
      </c>
      <c r="T63" s="50" t="e">
        <f>_xlfn.ISOWEEKNUM(RecetteTransport2[[#This Row],[Date Achevement  Mécanique]])</f>
        <v>#REF!</v>
      </c>
      <c r="U63" s="50" t="e">
        <f>YEAR(RecetteTransport2[[#This Row],[Date Achevement  Mécanique]])</f>
        <v>#REF!</v>
      </c>
      <c r="V63" s="2"/>
      <c r="W63" s="50">
        <f>_xlfn.ISOWEEKNUM(RecetteTransport2[[#This Row],[Date de mesure]])</f>
        <v>52</v>
      </c>
      <c r="X63" s="11">
        <f>YEAR(RecetteTransport2[[#This Row],[Date de mesure]])</f>
        <v>1900</v>
      </c>
      <c r="Z63" s="50">
        <f>_xlfn.ISOWEEKNUM(RecetteTransport2[[#This Row],[Date envoie dossier mesure]])</f>
        <v>52</v>
      </c>
      <c r="AA63" s="50">
        <f>YEAR(RecetteTransport2[[#This Row],[Date envoie dossier mesure]])</f>
        <v>1900</v>
      </c>
      <c r="AB63" s="11"/>
      <c r="AC63" s="11"/>
      <c r="AE63" s="6" t="e">
        <f>RecetteTransport2[[#All],[Nb de reprises Optiques]]/#REF!</f>
        <v>#REF!</v>
      </c>
      <c r="AF63" s="6"/>
    </row>
    <row r="64" spans="1:32" hidden="1" x14ac:dyDescent="0.3">
      <c r="A64" t="s">
        <v>12</v>
      </c>
      <c r="B64" t="s">
        <v>15</v>
      </c>
      <c r="C64" t="s">
        <v>133</v>
      </c>
      <c r="D64" t="s">
        <v>132</v>
      </c>
      <c r="G64" s="11"/>
      <c r="H64" s="11" t="s">
        <v>29</v>
      </c>
      <c r="I64" s="11" t="s">
        <v>29</v>
      </c>
      <c r="J64" s="11">
        <f>RecetteTransport2[[#All],[Fibres TC NOK]]</f>
        <v>0</v>
      </c>
      <c r="K64" s="50">
        <f>RecetteTransport2[[#All],[Valeur Critique]]</f>
        <v>0</v>
      </c>
      <c r="L64" s="50">
        <f>AD:AD</f>
        <v>2</v>
      </c>
      <c r="N64" t="s">
        <v>65</v>
      </c>
      <c r="P64">
        <f xml:space="preserve"> _xlfn.ISOWEEKNUM(RecetteTransport2[[#This Row],[Date validation Optique]])</f>
        <v>52</v>
      </c>
      <c r="Q64">
        <f>YEAR(RecetteTransport2[[#This Row],[Date validation Optique]])</f>
        <v>1900</v>
      </c>
      <c r="T64" s="50">
        <f>_xlfn.ISOWEEKNUM(RecetteTransport2[[#This Row],[Date Achevement  Mécanique]])</f>
        <v>52</v>
      </c>
      <c r="U64" s="50">
        <f>YEAR(RecetteTransport2[[#This Row],[Date Achevement  Mécanique]])</f>
        <v>1900</v>
      </c>
      <c r="V64" s="2"/>
      <c r="W64" s="50">
        <f>_xlfn.ISOWEEKNUM(RecetteTransport2[[#This Row],[Date de mesure]])</f>
        <v>52</v>
      </c>
      <c r="X64" s="11">
        <f>YEAR(RecetteTransport2[[#This Row],[Date de mesure]])</f>
        <v>1900</v>
      </c>
      <c r="Y64" s="2">
        <v>44223</v>
      </c>
      <c r="Z64" s="50">
        <f>_xlfn.ISOWEEKNUM(RecetteTransport2[[#This Row],[Date envoie dossier mesure]])</f>
        <v>4</v>
      </c>
      <c r="AA64" s="50">
        <f>YEAR(RecetteTransport2[[#This Row],[Date envoie dossier mesure]])</f>
        <v>2021</v>
      </c>
      <c r="AB64" s="11">
        <v>0</v>
      </c>
      <c r="AC64" s="11">
        <v>0</v>
      </c>
      <c r="AD64" s="50">
        <v>2</v>
      </c>
      <c r="AE64" s="6" t="e">
        <f>RecetteTransport2[[#All],[Nb de reprises Optiques]]/#REF!</f>
        <v>#REF!</v>
      </c>
      <c r="AF64" s="6"/>
    </row>
    <row r="65" spans="1:32" x14ac:dyDescent="0.3">
      <c r="A65" t="s">
        <v>12</v>
      </c>
      <c r="B65" t="s">
        <v>15</v>
      </c>
      <c r="C65" t="s">
        <v>133</v>
      </c>
      <c r="D65" t="s">
        <v>437</v>
      </c>
      <c r="G65" s="11"/>
      <c r="H65" s="11"/>
      <c r="I65" s="11"/>
      <c r="J65" s="11">
        <f>RecetteTransport2[[#All],[Fibres TC NOK]]</f>
        <v>0</v>
      </c>
      <c r="K65" s="50">
        <f>RecetteTransport2[[#All],[Valeur Critique]]</f>
        <v>0</v>
      </c>
      <c r="L65" s="50">
        <f t="shared" ref="L65:L66" si="4">AD:AD</f>
        <v>0</v>
      </c>
      <c r="P65" s="11">
        <f xml:space="preserve"> _xlfn.ISOWEEKNUM(RecetteTransport2[[#This Row],[Date validation Optique]])</f>
        <v>52</v>
      </c>
      <c r="Q65" s="11">
        <f>YEAR(RecetteTransport2[[#This Row],[Date validation Optique]])</f>
        <v>1900</v>
      </c>
      <c r="S65" s="47" t="e">
        <f>#REF!+10</f>
        <v>#REF!</v>
      </c>
      <c r="T65" s="50" t="e">
        <f>_xlfn.ISOWEEKNUM(RecetteTransport2[[#This Row],[Date Achevement  Mécanique]])</f>
        <v>#REF!</v>
      </c>
      <c r="U65" s="50" t="e">
        <f>YEAR(RecetteTransport2[[#This Row],[Date Achevement  Mécanique]])</f>
        <v>#REF!</v>
      </c>
      <c r="V65" s="2"/>
      <c r="W65" s="50">
        <f>_xlfn.ISOWEEKNUM(RecetteTransport2[[#This Row],[Date de mesure]])</f>
        <v>52</v>
      </c>
      <c r="X65" s="11">
        <f>YEAR(RecetteTransport2[[#This Row],[Date de mesure]])</f>
        <v>1900</v>
      </c>
      <c r="Z65" s="50">
        <f>_xlfn.ISOWEEKNUM(RecetteTransport2[[#This Row],[Date envoie dossier mesure]])</f>
        <v>52</v>
      </c>
      <c r="AA65" s="50">
        <f>YEAR(RecetteTransport2[[#This Row],[Date envoie dossier mesure]])</f>
        <v>1900</v>
      </c>
      <c r="AB65" s="11"/>
      <c r="AC65" s="11"/>
      <c r="AE65" s="6" t="e">
        <f>RecetteTransport2[[#All],[Nb de reprises Optiques]]/#REF!</f>
        <v>#REF!</v>
      </c>
      <c r="AF65" s="6"/>
    </row>
    <row r="66" spans="1:32" x14ac:dyDescent="0.3">
      <c r="A66" t="s">
        <v>12</v>
      </c>
      <c r="B66" t="s">
        <v>15</v>
      </c>
      <c r="C66" t="s">
        <v>133</v>
      </c>
      <c r="D66" t="s">
        <v>438</v>
      </c>
      <c r="G66" s="11"/>
      <c r="H66" s="11"/>
      <c r="I66" s="11"/>
      <c r="J66" s="11">
        <f>RecetteTransport2[[#All],[Fibres TC NOK]]</f>
        <v>0</v>
      </c>
      <c r="K66" s="50">
        <f>RecetteTransport2[[#All],[Valeur Critique]]</f>
        <v>0</v>
      </c>
      <c r="L66" s="50">
        <f t="shared" si="4"/>
        <v>0</v>
      </c>
      <c r="P66" s="11">
        <f xml:space="preserve"> _xlfn.ISOWEEKNUM(RecetteTransport2[[#This Row],[Date validation Optique]])</f>
        <v>52</v>
      </c>
      <c r="Q66" s="11">
        <f>YEAR(RecetteTransport2[[#This Row],[Date validation Optique]])</f>
        <v>1900</v>
      </c>
      <c r="S66" s="47" t="e">
        <f>#REF!+10</f>
        <v>#REF!</v>
      </c>
      <c r="T66" s="50" t="e">
        <f>_xlfn.ISOWEEKNUM(RecetteTransport2[[#This Row],[Date Achevement  Mécanique]])</f>
        <v>#REF!</v>
      </c>
      <c r="U66" s="50" t="e">
        <f>YEAR(RecetteTransport2[[#This Row],[Date Achevement  Mécanique]])</f>
        <v>#REF!</v>
      </c>
      <c r="V66" s="2"/>
      <c r="W66" s="50">
        <f>_xlfn.ISOWEEKNUM(RecetteTransport2[[#This Row],[Date de mesure]])</f>
        <v>52</v>
      </c>
      <c r="X66" s="11">
        <f>YEAR(RecetteTransport2[[#This Row],[Date de mesure]])</f>
        <v>1900</v>
      </c>
      <c r="Z66" s="50">
        <f>_xlfn.ISOWEEKNUM(RecetteTransport2[[#This Row],[Date envoie dossier mesure]])</f>
        <v>52</v>
      </c>
      <c r="AA66" s="50">
        <f>YEAR(RecetteTransport2[[#This Row],[Date envoie dossier mesure]])</f>
        <v>1900</v>
      </c>
      <c r="AB66" s="11"/>
      <c r="AC66" s="11"/>
      <c r="AE66" s="6" t="e">
        <f>RecetteTransport2[[#All],[Nb de reprises Optiques]]/#REF!</f>
        <v>#REF!</v>
      </c>
      <c r="AF66" s="6"/>
    </row>
    <row r="67" spans="1:32" hidden="1" x14ac:dyDescent="0.3">
      <c r="A67" t="s">
        <v>12</v>
      </c>
      <c r="B67" t="s">
        <v>15</v>
      </c>
      <c r="C67" t="s">
        <v>133</v>
      </c>
      <c r="D67" t="s">
        <v>160</v>
      </c>
      <c r="G67" s="11"/>
      <c r="H67" s="11" t="s">
        <v>29</v>
      </c>
      <c r="I67" s="11" t="s">
        <v>29</v>
      </c>
      <c r="J67" s="11">
        <f>RecetteTransport2[[#All],[Fibres TC NOK]]</f>
        <v>0</v>
      </c>
      <c r="K67" s="50">
        <f>RecetteTransport2[[#All],[Valeur Critique]]</f>
        <v>0</v>
      </c>
      <c r="L67" s="50">
        <f>AD:AD</f>
        <v>6</v>
      </c>
      <c r="N67" t="s">
        <v>65</v>
      </c>
      <c r="P67">
        <f xml:space="preserve"> _xlfn.ISOWEEKNUM(RecetteTransport2[[#This Row],[Date validation Optique]])</f>
        <v>52</v>
      </c>
      <c r="Q67">
        <f>YEAR(RecetteTransport2[[#This Row],[Date validation Optique]])</f>
        <v>1900</v>
      </c>
      <c r="T67" s="50">
        <f>_xlfn.ISOWEEKNUM(RecetteTransport2[[#This Row],[Date Achevement  Mécanique]])</f>
        <v>52</v>
      </c>
      <c r="U67" s="50">
        <f>YEAR(RecetteTransport2[[#This Row],[Date Achevement  Mécanique]])</f>
        <v>1900</v>
      </c>
      <c r="V67" s="2"/>
      <c r="W67" s="50">
        <f>_xlfn.ISOWEEKNUM(RecetteTransport2[[#This Row],[Date de mesure]])</f>
        <v>52</v>
      </c>
      <c r="X67" s="11">
        <f>YEAR(RecetteTransport2[[#This Row],[Date de mesure]])</f>
        <v>1900</v>
      </c>
      <c r="Y67" s="2">
        <v>44223</v>
      </c>
      <c r="Z67" s="50">
        <f>_xlfn.ISOWEEKNUM(RecetteTransport2[[#This Row],[Date envoie dossier mesure]])</f>
        <v>4</v>
      </c>
      <c r="AA67" s="50">
        <f>YEAR(RecetteTransport2[[#This Row],[Date envoie dossier mesure]])</f>
        <v>2021</v>
      </c>
      <c r="AB67" s="11">
        <v>0</v>
      </c>
      <c r="AC67" s="11">
        <v>0</v>
      </c>
      <c r="AD67" s="50">
        <v>6</v>
      </c>
      <c r="AE67" s="6" t="e">
        <f>RecetteTransport2[[#All],[Nb de reprises Optiques]]/#REF!</f>
        <v>#REF!</v>
      </c>
      <c r="AF67" s="6"/>
    </row>
    <row r="68" spans="1:32" hidden="1" x14ac:dyDescent="0.3">
      <c r="A68" t="s">
        <v>12</v>
      </c>
      <c r="B68" t="s">
        <v>20</v>
      </c>
      <c r="C68" t="s">
        <v>347</v>
      </c>
      <c r="D68" t="s">
        <v>350</v>
      </c>
      <c r="G68" s="11"/>
      <c r="H68" s="11" t="s">
        <v>29</v>
      </c>
      <c r="I68" s="11" t="s">
        <v>29</v>
      </c>
      <c r="J68" s="11">
        <f>RecetteTransport2[[#All],[Fibres TC NOK]]</f>
        <v>0</v>
      </c>
      <c r="K68" s="50">
        <f>RecetteTransport2[[#All],[Valeur Critique]]</f>
        <v>0</v>
      </c>
      <c r="L68" s="50">
        <f>AD:AD</f>
        <v>18</v>
      </c>
      <c r="N68" t="s">
        <v>65</v>
      </c>
      <c r="P68">
        <f xml:space="preserve"> _xlfn.ISOWEEKNUM(RecetteTransport2[[#This Row],[Date validation Optique]])</f>
        <v>52</v>
      </c>
      <c r="Q68">
        <f>YEAR(RecetteTransport2[[#This Row],[Date validation Optique]])</f>
        <v>1900</v>
      </c>
      <c r="T68" s="50">
        <f>_xlfn.ISOWEEKNUM(RecetteTransport2[[#This Row],[Date Achevement  Mécanique]])</f>
        <v>52</v>
      </c>
      <c r="U68" s="50">
        <f>YEAR(RecetteTransport2[[#This Row],[Date Achevement  Mécanique]])</f>
        <v>1900</v>
      </c>
      <c r="V68" s="2">
        <v>44257</v>
      </c>
      <c r="W68" s="50">
        <f>_xlfn.ISOWEEKNUM(RecetteTransport2[[#This Row],[Date de mesure]])</f>
        <v>9</v>
      </c>
      <c r="X68" s="11">
        <f>YEAR(RecetteTransport2[[#This Row],[Date de mesure]])</f>
        <v>2021</v>
      </c>
      <c r="Y68" s="2">
        <v>44270</v>
      </c>
      <c r="Z68" s="50">
        <f>_xlfn.ISOWEEKNUM(RecetteTransport2[[#This Row],[Date envoie dossier mesure]])</f>
        <v>11</v>
      </c>
      <c r="AA68" s="50">
        <f>YEAR(RecetteTransport2[[#This Row],[Date envoie dossier mesure]])</f>
        <v>2021</v>
      </c>
      <c r="AB68" s="11">
        <v>0</v>
      </c>
      <c r="AC68" s="11">
        <v>0</v>
      </c>
      <c r="AD68" s="50">
        <v>18</v>
      </c>
      <c r="AE68" s="6" t="e">
        <f>RecetteTransport2[[#All],[Nb de reprises Optiques]]/#REF!</f>
        <v>#REF!</v>
      </c>
      <c r="AF68" s="6"/>
    </row>
    <row r="69" spans="1:32" hidden="1" x14ac:dyDescent="0.3">
      <c r="A69" t="s">
        <v>12</v>
      </c>
      <c r="B69" t="s">
        <v>20</v>
      </c>
      <c r="C69" t="s">
        <v>341</v>
      </c>
      <c r="D69" t="s">
        <v>344</v>
      </c>
      <c r="G69" s="11"/>
      <c r="H69" s="11" t="s">
        <v>29</v>
      </c>
      <c r="I69" s="11" t="s">
        <v>29</v>
      </c>
      <c r="J69" s="11">
        <f>RecetteTransport2[[#All],[Fibres TC NOK]]</f>
        <v>1</v>
      </c>
      <c r="K69" s="50">
        <f>RecetteTransport2[[#All],[Valeur Critique]]</f>
        <v>0</v>
      </c>
      <c r="L69" s="50">
        <f>AD:AD</f>
        <v>16</v>
      </c>
      <c r="N69" t="s">
        <v>65</v>
      </c>
      <c r="P69">
        <f xml:space="preserve"> _xlfn.ISOWEEKNUM(RecetteTransport2[[#This Row],[Date validation Optique]])</f>
        <v>52</v>
      </c>
      <c r="Q69">
        <f>YEAR(RecetteTransport2[[#This Row],[Date validation Optique]])</f>
        <v>1900</v>
      </c>
      <c r="T69" s="50">
        <f>_xlfn.ISOWEEKNUM(RecetteTransport2[[#This Row],[Date Achevement  Mécanique]])</f>
        <v>52</v>
      </c>
      <c r="U69" s="50">
        <f>YEAR(RecetteTransport2[[#This Row],[Date Achevement  Mécanique]])</f>
        <v>1900</v>
      </c>
      <c r="V69" s="2">
        <v>44257</v>
      </c>
      <c r="W69" s="50">
        <f>_xlfn.ISOWEEKNUM(RecetteTransport2[[#This Row],[Date de mesure]])</f>
        <v>9</v>
      </c>
      <c r="X69" s="11">
        <f>YEAR(RecetteTransport2[[#This Row],[Date de mesure]])</f>
        <v>2021</v>
      </c>
      <c r="Y69" s="2">
        <v>44263</v>
      </c>
      <c r="Z69" s="50">
        <f>_xlfn.ISOWEEKNUM(RecetteTransport2[[#This Row],[Date envoie dossier mesure]])</f>
        <v>10</v>
      </c>
      <c r="AA69" s="50">
        <f>YEAR(RecetteTransport2[[#This Row],[Date envoie dossier mesure]])</f>
        <v>2021</v>
      </c>
      <c r="AB69" s="11">
        <v>1</v>
      </c>
      <c r="AC69" s="11">
        <v>0</v>
      </c>
      <c r="AD69" s="50">
        <v>16</v>
      </c>
      <c r="AE69" s="6" t="e">
        <f>RecetteTransport2[[#All],[Nb de reprises Optiques]]/#REF!</f>
        <v>#REF!</v>
      </c>
      <c r="AF69" s="6"/>
    </row>
    <row r="70" spans="1:32" hidden="1" x14ac:dyDescent="0.3">
      <c r="A70" t="s">
        <v>12</v>
      </c>
      <c r="B70" t="s">
        <v>13</v>
      </c>
      <c r="C70" t="s">
        <v>41</v>
      </c>
      <c r="D70" t="s">
        <v>94</v>
      </c>
      <c r="F70" t="s">
        <v>397</v>
      </c>
      <c r="G70" s="11" t="s">
        <v>29</v>
      </c>
      <c r="H70" s="11" t="s">
        <v>29</v>
      </c>
      <c r="I70" s="11" t="s">
        <v>29</v>
      </c>
      <c r="J70" s="11">
        <f>RecetteTransport2[[#All],[Fibres TC NOK]]</f>
        <v>0</v>
      </c>
      <c r="K70" s="50">
        <f>RecetteTransport2[[#All],[Valeur Critique]]</f>
        <v>0</v>
      </c>
      <c r="L70" s="50">
        <f>AD:AD</f>
        <v>11</v>
      </c>
      <c r="N70" t="s">
        <v>193</v>
      </c>
      <c r="P70">
        <f xml:space="preserve"> _xlfn.ISOWEEKNUM(RecetteTransport2[[#This Row],[Date validation Optique]])</f>
        <v>52</v>
      </c>
      <c r="Q70">
        <f>YEAR(RecetteTransport2[[#This Row],[Date validation Optique]])</f>
        <v>1900</v>
      </c>
      <c r="R70" t="s">
        <v>193</v>
      </c>
      <c r="S70" s="2">
        <v>44253</v>
      </c>
      <c r="T70" s="50">
        <f>_xlfn.ISOWEEKNUM(RecetteTransport2[[#This Row],[Date Achevement  Mécanique]])</f>
        <v>8</v>
      </c>
      <c r="U70" s="50">
        <f>YEAR(RecetteTransport2[[#This Row],[Date Achevement  Mécanique]])</f>
        <v>2021</v>
      </c>
      <c r="V70" s="2"/>
      <c r="W70" s="50">
        <f>_xlfn.ISOWEEKNUM(RecetteTransport2[[#This Row],[Date de mesure]])</f>
        <v>52</v>
      </c>
      <c r="X70" s="11">
        <f>YEAR(RecetteTransport2[[#This Row],[Date de mesure]])</f>
        <v>1900</v>
      </c>
      <c r="Z70" s="50">
        <f>_xlfn.ISOWEEKNUM(RecetteTransport2[[#This Row],[Date envoie dossier mesure]])</f>
        <v>52</v>
      </c>
      <c r="AA70" s="50">
        <f>YEAR(RecetteTransport2[[#This Row],[Date envoie dossier mesure]])</f>
        <v>1900</v>
      </c>
      <c r="AB70" s="11">
        <v>0</v>
      </c>
      <c r="AC70" s="11">
        <v>0</v>
      </c>
      <c r="AD70" s="50">
        <v>11</v>
      </c>
      <c r="AE70" s="6" t="e">
        <f>RecetteTransport2[[#All],[Nb de reprises Optiques]]/#REF!</f>
        <v>#REF!</v>
      </c>
      <c r="AF70" s="6"/>
    </row>
    <row r="71" spans="1:32" hidden="1" x14ac:dyDescent="0.3">
      <c r="A71" t="s">
        <v>12</v>
      </c>
      <c r="B71" t="s">
        <v>13</v>
      </c>
      <c r="C71" t="s">
        <v>41</v>
      </c>
      <c r="D71" t="s">
        <v>36</v>
      </c>
      <c r="F71" t="s">
        <v>397</v>
      </c>
      <c r="G71" s="11" t="s">
        <v>29</v>
      </c>
      <c r="H71" s="11" t="s">
        <v>29</v>
      </c>
      <c r="I71" s="11" t="s">
        <v>29</v>
      </c>
      <c r="J71" s="11">
        <f>RecetteTransport2[[#All],[Fibres TC NOK]]</f>
        <v>0</v>
      </c>
      <c r="K71" s="50">
        <f>RecetteTransport2[[#All],[Valeur Critique]]</f>
        <v>0</v>
      </c>
      <c r="L71" s="50">
        <f>AD:AD</f>
        <v>14</v>
      </c>
      <c r="N71" t="s">
        <v>193</v>
      </c>
      <c r="P71">
        <f xml:space="preserve"> _xlfn.ISOWEEKNUM(RecetteTransport2[[#This Row],[Date validation Optique]])</f>
        <v>52</v>
      </c>
      <c r="Q71">
        <f>YEAR(RecetteTransport2[[#This Row],[Date validation Optique]])</f>
        <v>1900</v>
      </c>
      <c r="R71" t="s">
        <v>193</v>
      </c>
      <c r="S71" s="2">
        <v>44253</v>
      </c>
      <c r="T71" s="50">
        <f>_xlfn.ISOWEEKNUM(RecetteTransport2[[#This Row],[Date Achevement  Mécanique]])</f>
        <v>8</v>
      </c>
      <c r="U71" s="50">
        <f>YEAR(RecetteTransport2[[#This Row],[Date Achevement  Mécanique]])</f>
        <v>2021</v>
      </c>
      <c r="V71" s="2"/>
      <c r="W71" s="50">
        <f>_xlfn.ISOWEEKNUM(RecetteTransport2[[#This Row],[Date de mesure]])</f>
        <v>52</v>
      </c>
      <c r="X71" s="11">
        <f>YEAR(RecetteTransport2[[#This Row],[Date de mesure]])</f>
        <v>1900</v>
      </c>
      <c r="Z71" s="50">
        <f>_xlfn.ISOWEEKNUM(RecetteTransport2[[#This Row],[Date envoie dossier mesure]])</f>
        <v>52</v>
      </c>
      <c r="AA71" s="50">
        <f>YEAR(RecetteTransport2[[#This Row],[Date envoie dossier mesure]])</f>
        <v>1900</v>
      </c>
      <c r="AB71" s="11">
        <v>0</v>
      </c>
      <c r="AC71" s="11">
        <v>0</v>
      </c>
      <c r="AD71" s="50">
        <v>14</v>
      </c>
      <c r="AE71" s="6" t="e">
        <f>RecetteTransport2[[#All],[Nb de reprises Optiques]]/#REF!</f>
        <v>#REF!</v>
      </c>
      <c r="AF71" s="6"/>
    </row>
    <row r="72" spans="1:32" hidden="1" x14ac:dyDescent="0.3">
      <c r="A72" t="s">
        <v>12</v>
      </c>
      <c r="B72" t="s">
        <v>13</v>
      </c>
      <c r="C72" t="s">
        <v>41</v>
      </c>
      <c r="D72" t="s">
        <v>14</v>
      </c>
      <c r="F72" t="s">
        <v>397</v>
      </c>
      <c r="G72" s="11" t="s">
        <v>29</v>
      </c>
      <c r="H72" s="11" t="s">
        <v>29</v>
      </c>
      <c r="I72" s="11" t="s">
        <v>29</v>
      </c>
      <c r="J72" s="11">
        <f>RecetteTransport2[[#All],[Fibres TC NOK]]</f>
        <v>0</v>
      </c>
      <c r="K72" s="50">
        <f>RecetteTransport2[[#All],[Valeur Critique]]</f>
        <v>0</v>
      </c>
      <c r="L72" s="50">
        <f>AD:AD</f>
        <v>0</v>
      </c>
      <c r="N72" t="s">
        <v>389</v>
      </c>
      <c r="P72">
        <f xml:space="preserve"> _xlfn.ISOWEEKNUM(RecetteTransport2[[#This Row],[Date validation Optique]])</f>
        <v>52</v>
      </c>
      <c r="Q72">
        <f>YEAR(RecetteTransport2[[#This Row],[Date validation Optique]])</f>
        <v>1900</v>
      </c>
      <c r="R72" t="s">
        <v>193</v>
      </c>
      <c r="S72" s="2">
        <v>44253</v>
      </c>
      <c r="T72" s="50">
        <f>_xlfn.ISOWEEKNUM(RecetteTransport2[[#This Row],[Date Achevement  Mécanique]])</f>
        <v>8</v>
      </c>
      <c r="U72" s="50">
        <f>YEAR(RecetteTransport2[[#This Row],[Date Achevement  Mécanique]])</f>
        <v>2021</v>
      </c>
      <c r="V72" s="2"/>
      <c r="W72" s="50">
        <f>_xlfn.ISOWEEKNUM(RecetteTransport2[[#This Row],[Date de mesure]])</f>
        <v>52</v>
      </c>
      <c r="X72" s="11">
        <f>YEAR(RecetteTransport2[[#This Row],[Date de mesure]])</f>
        <v>1900</v>
      </c>
      <c r="Z72" s="50">
        <f>_xlfn.ISOWEEKNUM(RecetteTransport2[[#This Row],[Date envoie dossier mesure]])</f>
        <v>52</v>
      </c>
      <c r="AA72" s="50">
        <f>YEAR(RecetteTransport2[[#This Row],[Date envoie dossier mesure]])</f>
        <v>1900</v>
      </c>
      <c r="AB72" s="11">
        <v>0</v>
      </c>
      <c r="AC72" s="11">
        <v>0</v>
      </c>
      <c r="AD72" s="50">
        <v>0</v>
      </c>
      <c r="AE72" s="6" t="e">
        <f>RecetteTransport2[[#All],[Nb de reprises Optiques]]/#REF!</f>
        <v>#REF!</v>
      </c>
      <c r="AF72" s="6"/>
    </row>
    <row r="73" spans="1:32" hidden="1" x14ac:dyDescent="0.3">
      <c r="A73" t="s">
        <v>12</v>
      </c>
      <c r="B73" t="s">
        <v>13</v>
      </c>
      <c r="C73" t="s">
        <v>41</v>
      </c>
      <c r="D73" t="s">
        <v>259</v>
      </c>
      <c r="F73" t="s">
        <v>397</v>
      </c>
      <c r="G73" s="11" t="s">
        <v>29</v>
      </c>
      <c r="H73" s="11" t="s">
        <v>29</v>
      </c>
      <c r="I73" s="11" t="s">
        <v>29</v>
      </c>
      <c r="J73" s="11">
        <f>RecetteTransport2[[#All],[Fibres TC NOK]]</f>
        <v>0</v>
      </c>
      <c r="K73" s="50">
        <f>RecetteTransport2[[#All],[Valeur Critique]]</f>
        <v>0</v>
      </c>
      <c r="L73" s="50">
        <f>AD:AD</f>
        <v>35</v>
      </c>
      <c r="N73" t="s">
        <v>193</v>
      </c>
      <c r="P73">
        <f xml:space="preserve"> _xlfn.ISOWEEKNUM(RecetteTransport2[[#This Row],[Date validation Optique]])</f>
        <v>52</v>
      </c>
      <c r="Q73">
        <f>YEAR(RecetteTransport2[[#This Row],[Date validation Optique]])</f>
        <v>1900</v>
      </c>
      <c r="R73" t="s">
        <v>193</v>
      </c>
      <c r="S73" s="2">
        <v>44253</v>
      </c>
      <c r="T73" s="50">
        <f>_xlfn.ISOWEEKNUM(RecetteTransport2[[#This Row],[Date Achevement  Mécanique]])</f>
        <v>8</v>
      </c>
      <c r="U73" s="50">
        <f>YEAR(RecetteTransport2[[#This Row],[Date Achevement  Mécanique]])</f>
        <v>2021</v>
      </c>
      <c r="V73" s="2"/>
      <c r="W73" s="50">
        <f>_xlfn.ISOWEEKNUM(RecetteTransport2[[#This Row],[Date de mesure]])</f>
        <v>52</v>
      </c>
      <c r="X73" s="11">
        <f>YEAR(RecetteTransport2[[#This Row],[Date de mesure]])</f>
        <v>1900</v>
      </c>
      <c r="Z73" s="50">
        <f>_xlfn.ISOWEEKNUM(RecetteTransport2[[#This Row],[Date envoie dossier mesure]])</f>
        <v>52</v>
      </c>
      <c r="AA73" s="50">
        <f>YEAR(RecetteTransport2[[#This Row],[Date envoie dossier mesure]])</f>
        <v>1900</v>
      </c>
      <c r="AB73" s="11">
        <v>0</v>
      </c>
      <c r="AC73" s="11">
        <v>0</v>
      </c>
      <c r="AD73" s="50">
        <v>35</v>
      </c>
      <c r="AE73" s="6" t="e">
        <f>RecetteTransport2[[#All],[Nb de reprises Optiques]]/#REF!</f>
        <v>#REF!</v>
      </c>
      <c r="AF73" s="6"/>
    </row>
    <row r="74" spans="1:32" hidden="1" x14ac:dyDescent="0.3">
      <c r="A74" t="s">
        <v>12</v>
      </c>
      <c r="B74" t="s">
        <v>13</v>
      </c>
      <c r="C74" t="s">
        <v>41</v>
      </c>
      <c r="D74" t="s">
        <v>18</v>
      </c>
      <c r="F74" t="s">
        <v>397</v>
      </c>
      <c r="G74" s="11" t="s">
        <v>29</v>
      </c>
      <c r="H74" s="11" t="s">
        <v>29</v>
      </c>
      <c r="I74" s="11" t="s">
        <v>29</v>
      </c>
      <c r="J74" s="11">
        <f>RecetteTransport2[[#All],[Fibres TC NOK]]</f>
        <v>0</v>
      </c>
      <c r="K74" s="50">
        <f>RecetteTransport2[[#All],[Valeur Critique]]</f>
        <v>3</v>
      </c>
      <c r="L74" s="50">
        <f>AD:AD</f>
        <v>46</v>
      </c>
      <c r="N74" t="s">
        <v>193</v>
      </c>
      <c r="P74">
        <f xml:space="preserve"> _xlfn.ISOWEEKNUM(RecetteTransport2[[#This Row],[Date validation Optique]])</f>
        <v>52</v>
      </c>
      <c r="Q74">
        <f>YEAR(RecetteTransport2[[#This Row],[Date validation Optique]])</f>
        <v>1900</v>
      </c>
      <c r="R74" t="s">
        <v>193</v>
      </c>
      <c r="S74" s="2">
        <v>44253</v>
      </c>
      <c r="T74" s="50">
        <f>_xlfn.ISOWEEKNUM(RecetteTransport2[[#This Row],[Date Achevement  Mécanique]])</f>
        <v>8</v>
      </c>
      <c r="U74" s="50">
        <f>YEAR(RecetteTransport2[[#This Row],[Date Achevement  Mécanique]])</f>
        <v>2021</v>
      </c>
      <c r="V74" s="2"/>
      <c r="W74" s="50">
        <f>_xlfn.ISOWEEKNUM(RecetteTransport2[[#This Row],[Date de mesure]])</f>
        <v>52</v>
      </c>
      <c r="X74" s="11">
        <f>YEAR(RecetteTransport2[[#This Row],[Date de mesure]])</f>
        <v>1900</v>
      </c>
      <c r="Y74" s="2">
        <v>44036</v>
      </c>
      <c r="Z74" s="50">
        <f>_xlfn.ISOWEEKNUM(RecetteTransport2[[#This Row],[Date envoie dossier mesure]])</f>
        <v>30</v>
      </c>
      <c r="AA74" s="50">
        <f>YEAR(RecetteTransport2[[#This Row],[Date envoie dossier mesure]])</f>
        <v>2020</v>
      </c>
      <c r="AB74" s="11">
        <v>0</v>
      </c>
      <c r="AC74" s="11">
        <v>3</v>
      </c>
      <c r="AD74" s="50">
        <v>46</v>
      </c>
      <c r="AE74" s="6" t="e">
        <f>RecetteTransport2[[#All],[Nb de reprises Optiques]]/#REF!</f>
        <v>#REF!</v>
      </c>
      <c r="AF74" s="6"/>
    </row>
    <row r="75" spans="1:32" hidden="1" x14ac:dyDescent="0.3">
      <c r="A75" t="s">
        <v>12</v>
      </c>
      <c r="B75" t="s">
        <v>13</v>
      </c>
      <c r="C75" t="s">
        <v>41</v>
      </c>
      <c r="D75" t="s">
        <v>283</v>
      </c>
      <c r="F75" t="s">
        <v>397</v>
      </c>
      <c r="G75" s="11" t="s">
        <v>29</v>
      </c>
      <c r="H75" s="11" t="s">
        <v>29</v>
      </c>
      <c r="I75" s="11" t="s">
        <v>29</v>
      </c>
      <c r="J75" s="11">
        <f>RecetteTransport2[[#All],[Fibres TC NOK]]</f>
        <v>0</v>
      </c>
      <c r="K75" s="50">
        <f>RecetteTransport2[[#All],[Valeur Critique]]</f>
        <v>0</v>
      </c>
      <c r="L75" s="50">
        <f>AD:AD</f>
        <v>32</v>
      </c>
      <c r="N75" t="s">
        <v>193</v>
      </c>
      <c r="P75">
        <f xml:space="preserve"> _xlfn.ISOWEEKNUM(RecetteTransport2[[#This Row],[Date validation Optique]])</f>
        <v>52</v>
      </c>
      <c r="Q75">
        <f>YEAR(RecetteTransport2[[#This Row],[Date validation Optique]])</f>
        <v>1900</v>
      </c>
      <c r="R75" t="s">
        <v>193</v>
      </c>
      <c r="S75" s="2">
        <v>44253</v>
      </c>
      <c r="T75" s="50">
        <f>_xlfn.ISOWEEKNUM(RecetteTransport2[[#This Row],[Date Achevement  Mécanique]])</f>
        <v>8</v>
      </c>
      <c r="U75" s="50">
        <f>YEAR(RecetteTransport2[[#This Row],[Date Achevement  Mécanique]])</f>
        <v>2021</v>
      </c>
      <c r="V75" s="2">
        <v>44230</v>
      </c>
      <c r="W75" s="50">
        <f>_xlfn.ISOWEEKNUM(RecetteTransport2[[#This Row],[Date de mesure]])</f>
        <v>5</v>
      </c>
      <c r="X75" s="11">
        <f>YEAR(RecetteTransport2[[#This Row],[Date de mesure]])</f>
        <v>2021</v>
      </c>
      <c r="Y75" s="2">
        <v>44236</v>
      </c>
      <c r="Z75" s="50">
        <f>_xlfn.ISOWEEKNUM(RecetteTransport2[[#This Row],[Date envoie dossier mesure]])</f>
        <v>6</v>
      </c>
      <c r="AA75" s="50">
        <f>YEAR(RecetteTransport2[[#This Row],[Date envoie dossier mesure]])</f>
        <v>2021</v>
      </c>
      <c r="AB75" s="11">
        <v>0</v>
      </c>
      <c r="AC75" s="11">
        <v>0</v>
      </c>
      <c r="AD75" s="50">
        <v>32</v>
      </c>
      <c r="AE75" s="6" t="e">
        <f>RecetteTransport2[[#All],[Nb de reprises Optiques]]/#REF!</f>
        <v>#REF!</v>
      </c>
      <c r="AF75" s="6"/>
    </row>
    <row r="76" spans="1:32" x14ac:dyDescent="0.3">
      <c r="A76" t="s">
        <v>12</v>
      </c>
      <c r="B76" t="s">
        <v>13</v>
      </c>
      <c r="D76" t="s">
        <v>458</v>
      </c>
      <c r="G76" s="11"/>
      <c r="H76" s="11"/>
      <c r="I76" s="11"/>
      <c r="J76" s="11">
        <f>RecetteTransport2[[#All],[Fibres TC NOK]]</f>
        <v>0</v>
      </c>
      <c r="K76" s="50">
        <f>RecetteTransport2[[#All],[Valeur Critique]]</f>
        <v>0</v>
      </c>
      <c r="L76" s="50">
        <f>AD:AD</f>
        <v>0</v>
      </c>
      <c r="P76" s="11">
        <f xml:space="preserve"> _xlfn.ISOWEEKNUM(RecetteTransport2[[#This Row],[Date validation Optique]])</f>
        <v>52</v>
      </c>
      <c r="Q76" s="11">
        <f>YEAR(RecetteTransport2[[#This Row],[Date validation Optique]])</f>
        <v>1900</v>
      </c>
      <c r="S76" s="47" t="e">
        <f>#REF!+10</f>
        <v>#REF!</v>
      </c>
      <c r="T76" s="50" t="e">
        <f>_xlfn.ISOWEEKNUM(RecetteTransport2[[#This Row],[Date Achevement  Mécanique]])</f>
        <v>#REF!</v>
      </c>
      <c r="U76" s="50" t="e">
        <f>YEAR(RecetteTransport2[[#This Row],[Date Achevement  Mécanique]])</f>
        <v>#REF!</v>
      </c>
      <c r="V76" s="47"/>
      <c r="W76" s="50">
        <f>_xlfn.ISOWEEKNUM(RecetteTransport2[[#This Row],[Date de mesure]])</f>
        <v>52</v>
      </c>
      <c r="X76" s="11">
        <f>YEAR(RecetteTransport2[[#This Row],[Date de mesure]])</f>
        <v>1900</v>
      </c>
      <c r="Y76" s="47"/>
      <c r="Z76" s="50">
        <f>_xlfn.ISOWEEKNUM(RecetteTransport2[[#This Row],[Date envoie dossier mesure]])</f>
        <v>52</v>
      </c>
      <c r="AA76" s="50">
        <f>YEAR(RecetteTransport2[[#This Row],[Date envoie dossier mesure]])</f>
        <v>1900</v>
      </c>
      <c r="AB76" s="11"/>
      <c r="AC76" s="11"/>
      <c r="AE76" s="6" t="e">
        <f>RecetteTransport2[[#All],[Nb de reprises Optiques]]/#REF!</f>
        <v>#REF!</v>
      </c>
      <c r="AF76" s="6"/>
    </row>
    <row r="77" spans="1:32" hidden="1" x14ac:dyDescent="0.3">
      <c r="A77" t="s">
        <v>12</v>
      </c>
      <c r="B77" t="s">
        <v>13</v>
      </c>
      <c r="C77" t="s">
        <v>41</v>
      </c>
      <c r="D77" t="s">
        <v>284</v>
      </c>
      <c r="F77" t="s">
        <v>397</v>
      </c>
      <c r="G77" s="11" t="s">
        <v>29</v>
      </c>
      <c r="H77" s="11" t="s">
        <v>29</v>
      </c>
      <c r="I77" s="11" t="s">
        <v>29</v>
      </c>
      <c r="J77" s="11">
        <f>RecetteTransport2[[#All],[Fibres TC NOK]]</f>
        <v>0</v>
      </c>
      <c r="K77" s="50">
        <f>RecetteTransport2[[#All],[Valeur Critique]]</f>
        <v>0</v>
      </c>
      <c r="L77" s="50">
        <f>AD:AD</f>
        <v>35</v>
      </c>
      <c r="N77" t="s">
        <v>193</v>
      </c>
      <c r="P77">
        <f xml:space="preserve"> _xlfn.ISOWEEKNUM(RecetteTransport2[[#This Row],[Date validation Optique]])</f>
        <v>52</v>
      </c>
      <c r="Q77">
        <f>YEAR(RecetteTransport2[[#This Row],[Date validation Optique]])</f>
        <v>1900</v>
      </c>
      <c r="R77" t="s">
        <v>193</v>
      </c>
      <c r="S77" s="2">
        <v>44253</v>
      </c>
      <c r="T77" s="50">
        <f>_xlfn.ISOWEEKNUM(RecetteTransport2[[#This Row],[Date Achevement  Mécanique]])</f>
        <v>8</v>
      </c>
      <c r="U77" s="50">
        <f>YEAR(RecetteTransport2[[#This Row],[Date Achevement  Mécanique]])</f>
        <v>2021</v>
      </c>
      <c r="V77" s="2">
        <v>44230</v>
      </c>
      <c r="W77" s="50">
        <f>_xlfn.ISOWEEKNUM(RecetteTransport2[[#This Row],[Date de mesure]])</f>
        <v>5</v>
      </c>
      <c r="X77" s="11">
        <f>YEAR(RecetteTransport2[[#This Row],[Date de mesure]])</f>
        <v>2021</v>
      </c>
      <c r="Y77" s="2">
        <v>44236</v>
      </c>
      <c r="Z77" s="50">
        <f>_xlfn.ISOWEEKNUM(RecetteTransport2[[#This Row],[Date envoie dossier mesure]])</f>
        <v>6</v>
      </c>
      <c r="AA77" s="50">
        <f>YEAR(RecetteTransport2[[#This Row],[Date envoie dossier mesure]])</f>
        <v>2021</v>
      </c>
      <c r="AB77" s="11">
        <v>0</v>
      </c>
      <c r="AC77" s="11">
        <v>0</v>
      </c>
      <c r="AD77" s="50">
        <v>35</v>
      </c>
      <c r="AE77" s="6" t="e">
        <f>RecetteTransport2[[#All],[Nb de reprises Optiques]]/#REF!</f>
        <v>#REF!</v>
      </c>
      <c r="AF77" s="6"/>
    </row>
    <row r="78" spans="1:32" hidden="1" x14ac:dyDescent="0.3">
      <c r="A78" t="s">
        <v>12</v>
      </c>
      <c r="B78" t="s">
        <v>13</v>
      </c>
      <c r="C78" t="s">
        <v>41</v>
      </c>
      <c r="D78" t="s">
        <v>217</v>
      </c>
      <c r="F78" t="s">
        <v>397</v>
      </c>
      <c r="G78" s="11" t="s">
        <v>29</v>
      </c>
      <c r="H78" s="11" t="s">
        <v>29</v>
      </c>
      <c r="I78" s="11" t="s">
        <v>29</v>
      </c>
      <c r="J78" s="11">
        <f>RecetteTransport2[[#All],[Fibres TC NOK]]</f>
        <v>1</v>
      </c>
      <c r="K78" s="50">
        <f>RecetteTransport2[[#All],[Valeur Critique]]</f>
        <v>0</v>
      </c>
      <c r="L78" s="50">
        <f>AD:AD</f>
        <v>3</v>
      </c>
      <c r="N78" t="s">
        <v>193</v>
      </c>
      <c r="P78">
        <f xml:space="preserve"> _xlfn.ISOWEEKNUM(RecetteTransport2[[#This Row],[Date validation Optique]])</f>
        <v>52</v>
      </c>
      <c r="Q78">
        <f>YEAR(RecetteTransport2[[#This Row],[Date validation Optique]])</f>
        <v>1900</v>
      </c>
      <c r="R78" t="s">
        <v>193</v>
      </c>
      <c r="S78" s="2">
        <v>44253</v>
      </c>
      <c r="T78" s="50">
        <f>_xlfn.ISOWEEKNUM(RecetteTransport2[[#This Row],[Date Achevement  Mécanique]])</f>
        <v>8</v>
      </c>
      <c r="U78" s="50">
        <f>YEAR(RecetteTransport2[[#This Row],[Date Achevement  Mécanique]])</f>
        <v>2021</v>
      </c>
      <c r="V78" s="2"/>
      <c r="W78" s="50">
        <f>_xlfn.ISOWEEKNUM(RecetteTransport2[[#This Row],[Date de mesure]])</f>
        <v>52</v>
      </c>
      <c r="X78" s="11">
        <f>YEAR(RecetteTransport2[[#This Row],[Date de mesure]])</f>
        <v>1900</v>
      </c>
      <c r="Y78" s="2">
        <v>44204</v>
      </c>
      <c r="Z78" s="50">
        <f>_xlfn.ISOWEEKNUM(RecetteTransport2[[#This Row],[Date envoie dossier mesure]])</f>
        <v>1</v>
      </c>
      <c r="AA78" s="50">
        <f>YEAR(RecetteTransport2[[#This Row],[Date envoie dossier mesure]])</f>
        <v>2021</v>
      </c>
      <c r="AB78" s="11">
        <v>1</v>
      </c>
      <c r="AC78" s="11">
        <v>0</v>
      </c>
      <c r="AD78" s="50">
        <v>3</v>
      </c>
      <c r="AE78" s="6" t="e">
        <f>RecetteTransport2[[#All],[Nb de reprises Optiques]]/#REF!</f>
        <v>#REF!</v>
      </c>
      <c r="AF78" s="6"/>
    </row>
    <row r="79" spans="1:32" hidden="1" x14ac:dyDescent="0.3">
      <c r="A79" t="s">
        <v>12</v>
      </c>
      <c r="B79" t="s">
        <v>13</v>
      </c>
      <c r="C79" t="s">
        <v>41</v>
      </c>
      <c r="D79" t="s">
        <v>216</v>
      </c>
      <c r="F79" t="s">
        <v>397</v>
      </c>
      <c r="G79" s="11" t="s">
        <v>29</v>
      </c>
      <c r="H79" s="11" t="s">
        <v>29</v>
      </c>
      <c r="I79" s="11" t="s">
        <v>29</v>
      </c>
      <c r="J79" s="11">
        <f>RecetteTransport2[[#All],[Fibres TC NOK]]</f>
        <v>0</v>
      </c>
      <c r="K79" s="50">
        <f>RecetteTransport2[[#All],[Valeur Critique]]</f>
        <v>0</v>
      </c>
      <c r="L79" s="50">
        <f>AD:AD</f>
        <v>47</v>
      </c>
      <c r="N79" t="s">
        <v>193</v>
      </c>
      <c r="P79">
        <f xml:space="preserve"> _xlfn.ISOWEEKNUM(RecetteTransport2[[#This Row],[Date validation Optique]])</f>
        <v>52</v>
      </c>
      <c r="Q79">
        <f>YEAR(RecetteTransport2[[#This Row],[Date validation Optique]])</f>
        <v>1900</v>
      </c>
      <c r="R79" t="s">
        <v>193</v>
      </c>
      <c r="S79" s="2">
        <v>44253</v>
      </c>
      <c r="T79" s="50">
        <f>_xlfn.ISOWEEKNUM(RecetteTransport2[[#This Row],[Date Achevement  Mécanique]])</f>
        <v>8</v>
      </c>
      <c r="U79" s="50">
        <f>YEAR(RecetteTransport2[[#This Row],[Date Achevement  Mécanique]])</f>
        <v>2021</v>
      </c>
      <c r="V79" s="2"/>
      <c r="W79" s="50">
        <f>_xlfn.ISOWEEKNUM(RecetteTransport2[[#This Row],[Date de mesure]])</f>
        <v>52</v>
      </c>
      <c r="X79" s="11">
        <f>YEAR(RecetteTransport2[[#This Row],[Date de mesure]])</f>
        <v>1900</v>
      </c>
      <c r="Y79" s="2">
        <v>44204</v>
      </c>
      <c r="Z79" s="50">
        <f>_xlfn.ISOWEEKNUM(RecetteTransport2[[#This Row],[Date envoie dossier mesure]])</f>
        <v>1</v>
      </c>
      <c r="AA79" s="50">
        <f>YEAR(RecetteTransport2[[#This Row],[Date envoie dossier mesure]])</f>
        <v>2021</v>
      </c>
      <c r="AB79" s="11">
        <v>0</v>
      </c>
      <c r="AC79" s="11">
        <v>0</v>
      </c>
      <c r="AD79" s="50">
        <v>47</v>
      </c>
      <c r="AE79" s="6" t="e">
        <f>RecetteTransport2[[#All],[Nb de reprises Optiques]]/#REF!</f>
        <v>#REF!</v>
      </c>
      <c r="AF79" s="6"/>
    </row>
    <row r="80" spans="1:32" hidden="1" x14ac:dyDescent="0.3">
      <c r="A80" t="s">
        <v>12</v>
      </c>
      <c r="B80" t="s">
        <v>13</v>
      </c>
      <c r="C80" t="s">
        <v>41</v>
      </c>
      <c r="D80" t="s">
        <v>206</v>
      </c>
      <c r="F80" t="s">
        <v>397</v>
      </c>
      <c r="G80" s="11" t="s">
        <v>29</v>
      </c>
      <c r="H80" s="11" t="s">
        <v>29</v>
      </c>
      <c r="I80" s="11" t="s">
        <v>29</v>
      </c>
      <c r="J80" s="11">
        <f>RecetteTransport2[[#All],[Fibres TC NOK]]</f>
        <v>0</v>
      </c>
      <c r="K80" s="50">
        <f>RecetteTransport2[[#All],[Valeur Critique]]</f>
        <v>0</v>
      </c>
      <c r="L80" s="50">
        <f>AD:AD</f>
        <v>2</v>
      </c>
      <c r="N80" t="s">
        <v>193</v>
      </c>
      <c r="P80">
        <f xml:space="preserve"> _xlfn.ISOWEEKNUM(RecetteTransport2[[#This Row],[Date validation Optique]])</f>
        <v>52</v>
      </c>
      <c r="Q80">
        <f>YEAR(RecetteTransport2[[#This Row],[Date validation Optique]])</f>
        <v>1900</v>
      </c>
      <c r="R80" t="s">
        <v>193</v>
      </c>
      <c r="S80" s="2">
        <v>44253</v>
      </c>
      <c r="T80" s="50">
        <f>_xlfn.ISOWEEKNUM(RecetteTransport2[[#This Row],[Date Achevement  Mécanique]])</f>
        <v>8</v>
      </c>
      <c r="U80" s="50">
        <f>YEAR(RecetteTransport2[[#This Row],[Date Achevement  Mécanique]])</f>
        <v>2021</v>
      </c>
      <c r="V80" s="2">
        <v>44253</v>
      </c>
      <c r="W80" s="50">
        <f>_xlfn.ISOWEEKNUM(RecetteTransport2[[#This Row],[Date de mesure]])</f>
        <v>8</v>
      </c>
      <c r="X80" s="11">
        <f>YEAR(RecetteTransport2[[#This Row],[Date de mesure]])</f>
        <v>2021</v>
      </c>
      <c r="Y80" s="2">
        <v>44252</v>
      </c>
      <c r="Z80" s="50">
        <f>_xlfn.ISOWEEKNUM(RecetteTransport2[[#This Row],[Date envoie dossier mesure]])</f>
        <v>8</v>
      </c>
      <c r="AA80" s="50">
        <f>YEAR(RecetteTransport2[[#This Row],[Date envoie dossier mesure]])</f>
        <v>2021</v>
      </c>
      <c r="AB80" s="11">
        <v>0</v>
      </c>
      <c r="AC80" s="11">
        <v>0</v>
      </c>
      <c r="AD80" s="50">
        <v>2</v>
      </c>
      <c r="AE80" s="6" t="e">
        <f>RecetteTransport2[[#All],[Nb de reprises Optiques]]/#REF!</f>
        <v>#REF!</v>
      </c>
      <c r="AF80" s="6"/>
    </row>
    <row r="81" spans="1:32" hidden="1" x14ac:dyDescent="0.3">
      <c r="A81" t="s">
        <v>12</v>
      </c>
      <c r="B81" t="s">
        <v>13</v>
      </c>
      <c r="C81" t="s">
        <v>41</v>
      </c>
      <c r="D81" t="s">
        <v>207</v>
      </c>
      <c r="F81" t="s">
        <v>397</v>
      </c>
      <c r="G81" s="11" t="s">
        <v>29</v>
      </c>
      <c r="H81" s="11" t="s">
        <v>29</v>
      </c>
      <c r="I81" s="11" t="s">
        <v>29</v>
      </c>
      <c r="J81" s="11">
        <f>RecetteTransport2[[#All],[Fibres TC NOK]]</f>
        <v>0</v>
      </c>
      <c r="K81" s="50">
        <f>RecetteTransport2[[#All],[Valeur Critique]]</f>
        <v>0</v>
      </c>
      <c r="L81" s="50">
        <f>AD:AD</f>
        <v>16</v>
      </c>
      <c r="N81" t="s">
        <v>193</v>
      </c>
      <c r="P81">
        <f xml:space="preserve"> _xlfn.ISOWEEKNUM(RecetteTransport2[[#This Row],[Date validation Optique]])</f>
        <v>52</v>
      </c>
      <c r="Q81">
        <f>YEAR(RecetteTransport2[[#This Row],[Date validation Optique]])</f>
        <v>1900</v>
      </c>
      <c r="R81" t="s">
        <v>193</v>
      </c>
      <c r="S81" s="2">
        <v>44253</v>
      </c>
      <c r="T81" s="50">
        <f>_xlfn.ISOWEEKNUM(RecetteTransport2[[#This Row],[Date Achevement  Mécanique]])</f>
        <v>8</v>
      </c>
      <c r="U81" s="50">
        <f>YEAR(RecetteTransport2[[#This Row],[Date Achevement  Mécanique]])</f>
        <v>2021</v>
      </c>
      <c r="V81" s="2">
        <v>44253</v>
      </c>
      <c r="W81" s="50">
        <f>_xlfn.ISOWEEKNUM(RecetteTransport2[[#This Row],[Date de mesure]])</f>
        <v>8</v>
      </c>
      <c r="X81" s="11">
        <f>YEAR(RecetteTransport2[[#This Row],[Date de mesure]])</f>
        <v>2021</v>
      </c>
      <c r="Y81" s="2">
        <v>44252</v>
      </c>
      <c r="Z81" s="50">
        <f>_xlfn.ISOWEEKNUM(RecetteTransport2[[#This Row],[Date envoie dossier mesure]])</f>
        <v>8</v>
      </c>
      <c r="AA81" s="50">
        <f>YEAR(RecetteTransport2[[#This Row],[Date envoie dossier mesure]])</f>
        <v>2021</v>
      </c>
      <c r="AB81" s="11">
        <v>0</v>
      </c>
      <c r="AC81" s="11">
        <v>0</v>
      </c>
      <c r="AD81" s="50">
        <v>16</v>
      </c>
      <c r="AE81" s="6" t="e">
        <f>RecetteTransport2[[#All],[Nb de reprises Optiques]]/#REF!</f>
        <v>#REF!</v>
      </c>
      <c r="AF81" s="6"/>
    </row>
    <row r="82" spans="1:32" hidden="1" x14ac:dyDescent="0.3">
      <c r="A82" t="s">
        <v>12</v>
      </c>
      <c r="B82" t="s">
        <v>13</v>
      </c>
      <c r="C82" t="s">
        <v>41</v>
      </c>
      <c r="D82" t="s">
        <v>285</v>
      </c>
      <c r="F82" t="s">
        <v>397</v>
      </c>
      <c r="G82" s="11" t="s">
        <v>29</v>
      </c>
      <c r="H82" s="11" t="s">
        <v>29</v>
      </c>
      <c r="I82" s="11" t="s">
        <v>29</v>
      </c>
      <c r="J82" s="11">
        <f>RecetteTransport2[[#All],[Fibres TC NOK]]</f>
        <v>0</v>
      </c>
      <c r="K82" s="50">
        <f>RecetteTransport2[[#All],[Valeur Critique]]</f>
        <v>0</v>
      </c>
      <c r="L82" s="50">
        <f>AD:AD</f>
        <v>12</v>
      </c>
      <c r="N82" t="s">
        <v>193</v>
      </c>
      <c r="P82">
        <f xml:space="preserve"> _xlfn.ISOWEEKNUM(RecetteTransport2[[#This Row],[Date validation Optique]])</f>
        <v>52</v>
      </c>
      <c r="Q82">
        <f>YEAR(RecetteTransport2[[#This Row],[Date validation Optique]])</f>
        <v>1900</v>
      </c>
      <c r="R82" t="s">
        <v>193</v>
      </c>
      <c r="S82" s="2">
        <v>44253</v>
      </c>
      <c r="T82" s="50">
        <f>_xlfn.ISOWEEKNUM(RecetteTransport2[[#This Row],[Date Achevement  Mécanique]])</f>
        <v>8</v>
      </c>
      <c r="U82" s="50">
        <f>YEAR(RecetteTransport2[[#This Row],[Date Achevement  Mécanique]])</f>
        <v>2021</v>
      </c>
      <c r="V82" s="2">
        <v>44216</v>
      </c>
      <c r="W82" s="50">
        <f>_xlfn.ISOWEEKNUM(RecetteTransport2[[#This Row],[Date de mesure]])</f>
        <v>3</v>
      </c>
      <c r="X82" s="11">
        <f>YEAR(RecetteTransport2[[#This Row],[Date de mesure]])</f>
        <v>2021</v>
      </c>
      <c r="Y82" s="2">
        <v>44223</v>
      </c>
      <c r="Z82" s="50">
        <f>_xlfn.ISOWEEKNUM(RecetteTransport2[[#This Row],[Date envoie dossier mesure]])</f>
        <v>4</v>
      </c>
      <c r="AA82" s="50">
        <f>YEAR(RecetteTransport2[[#This Row],[Date envoie dossier mesure]])</f>
        <v>2021</v>
      </c>
      <c r="AB82" s="11">
        <v>0</v>
      </c>
      <c r="AC82" s="11">
        <v>0</v>
      </c>
      <c r="AD82" s="50">
        <v>12</v>
      </c>
      <c r="AE82" s="6" t="e">
        <f>RecetteTransport2[[#All],[Nb de reprises Optiques]]/#REF!</f>
        <v>#REF!</v>
      </c>
      <c r="AF82" s="6"/>
    </row>
    <row r="83" spans="1:32" hidden="1" x14ac:dyDescent="0.3">
      <c r="A83" t="s">
        <v>12</v>
      </c>
      <c r="B83" t="s">
        <v>13</v>
      </c>
      <c r="C83" t="s">
        <v>41</v>
      </c>
      <c r="D83" t="s">
        <v>286</v>
      </c>
      <c r="F83" t="s">
        <v>397</v>
      </c>
      <c r="G83" s="11" t="s">
        <v>29</v>
      </c>
      <c r="H83" s="11" t="s">
        <v>29</v>
      </c>
      <c r="I83" s="11" t="s">
        <v>29</v>
      </c>
      <c r="J83" s="11">
        <f>RecetteTransport2[[#All],[Fibres TC NOK]]</f>
        <v>0</v>
      </c>
      <c r="K83" s="50">
        <f>RecetteTransport2[[#All],[Valeur Critique]]</f>
        <v>0</v>
      </c>
      <c r="L83" s="50">
        <f>AD:AD</f>
        <v>21</v>
      </c>
      <c r="N83" t="s">
        <v>193</v>
      </c>
      <c r="P83">
        <f xml:space="preserve"> _xlfn.ISOWEEKNUM(RecetteTransport2[[#This Row],[Date validation Optique]])</f>
        <v>52</v>
      </c>
      <c r="Q83">
        <f>YEAR(RecetteTransport2[[#This Row],[Date validation Optique]])</f>
        <v>1900</v>
      </c>
      <c r="R83" t="s">
        <v>193</v>
      </c>
      <c r="S83" s="2">
        <v>44253</v>
      </c>
      <c r="T83" s="50">
        <f>_xlfn.ISOWEEKNUM(RecetteTransport2[[#This Row],[Date Achevement  Mécanique]])</f>
        <v>8</v>
      </c>
      <c r="U83" s="50">
        <f>YEAR(RecetteTransport2[[#This Row],[Date Achevement  Mécanique]])</f>
        <v>2021</v>
      </c>
      <c r="V83" s="2">
        <v>44216</v>
      </c>
      <c r="W83" s="50">
        <f>_xlfn.ISOWEEKNUM(RecetteTransport2[[#This Row],[Date de mesure]])</f>
        <v>3</v>
      </c>
      <c r="X83" s="11">
        <f>YEAR(RecetteTransport2[[#This Row],[Date de mesure]])</f>
        <v>2021</v>
      </c>
      <c r="Y83" s="2">
        <v>44223</v>
      </c>
      <c r="Z83" s="50">
        <f>_xlfn.ISOWEEKNUM(RecetteTransport2[[#This Row],[Date envoie dossier mesure]])</f>
        <v>4</v>
      </c>
      <c r="AA83" s="50">
        <f>YEAR(RecetteTransport2[[#This Row],[Date envoie dossier mesure]])</f>
        <v>2021</v>
      </c>
      <c r="AB83" s="11">
        <v>0</v>
      </c>
      <c r="AC83" s="11">
        <v>0</v>
      </c>
      <c r="AD83" s="50">
        <v>21</v>
      </c>
      <c r="AE83" s="6" t="e">
        <f>RecetteTransport2[[#All],[Nb de reprises Optiques]]/#REF!</f>
        <v>#REF!</v>
      </c>
      <c r="AF83" s="6"/>
    </row>
    <row r="84" spans="1:32" hidden="1" x14ac:dyDescent="0.3">
      <c r="A84" t="s">
        <v>12</v>
      </c>
      <c r="B84" t="s">
        <v>13</v>
      </c>
      <c r="C84" t="s">
        <v>41</v>
      </c>
      <c r="D84" t="s">
        <v>287</v>
      </c>
      <c r="F84" t="s">
        <v>397</v>
      </c>
      <c r="G84" s="11" t="s">
        <v>29</v>
      </c>
      <c r="H84" s="11" t="s">
        <v>29</v>
      </c>
      <c r="I84" s="11" t="s">
        <v>29</v>
      </c>
      <c r="J84" s="11">
        <f>RecetteTransport2[[#All],[Fibres TC NOK]]</f>
        <v>0</v>
      </c>
      <c r="K84" s="50">
        <f>RecetteTransport2[[#All],[Valeur Critique]]</f>
        <v>0</v>
      </c>
      <c r="L84" s="50">
        <f>AD:AD</f>
        <v>7</v>
      </c>
      <c r="N84" t="s">
        <v>193</v>
      </c>
      <c r="P84">
        <f xml:space="preserve"> _xlfn.ISOWEEKNUM(RecetteTransport2[[#This Row],[Date validation Optique]])</f>
        <v>52</v>
      </c>
      <c r="Q84">
        <f>YEAR(RecetteTransport2[[#This Row],[Date validation Optique]])</f>
        <v>1900</v>
      </c>
      <c r="R84" t="s">
        <v>193</v>
      </c>
      <c r="S84" s="2">
        <v>44253</v>
      </c>
      <c r="T84" s="50">
        <f>_xlfn.ISOWEEKNUM(RecetteTransport2[[#This Row],[Date Achevement  Mécanique]])</f>
        <v>8</v>
      </c>
      <c r="U84" s="50">
        <f>YEAR(RecetteTransport2[[#This Row],[Date Achevement  Mécanique]])</f>
        <v>2021</v>
      </c>
      <c r="V84" s="2">
        <v>44229</v>
      </c>
      <c r="W84" s="50">
        <f>_xlfn.ISOWEEKNUM(RecetteTransport2[[#This Row],[Date de mesure]])</f>
        <v>5</v>
      </c>
      <c r="X84" s="11">
        <f>YEAR(RecetteTransport2[[#This Row],[Date de mesure]])</f>
        <v>2021</v>
      </c>
      <c r="Y84" s="2">
        <v>44235</v>
      </c>
      <c r="Z84" s="50">
        <f>_xlfn.ISOWEEKNUM(RecetteTransport2[[#This Row],[Date envoie dossier mesure]])</f>
        <v>6</v>
      </c>
      <c r="AA84" s="50">
        <f>YEAR(RecetteTransport2[[#This Row],[Date envoie dossier mesure]])</f>
        <v>2021</v>
      </c>
      <c r="AB84" s="11">
        <v>0</v>
      </c>
      <c r="AC84" s="11">
        <v>0</v>
      </c>
      <c r="AD84" s="50">
        <v>7</v>
      </c>
      <c r="AE84" s="6" t="e">
        <f>RecetteTransport2[[#All],[Nb de reprises Optiques]]/#REF!</f>
        <v>#REF!</v>
      </c>
      <c r="AF84" s="6"/>
    </row>
    <row r="85" spans="1:32" hidden="1" x14ac:dyDescent="0.3">
      <c r="A85" t="s">
        <v>12</v>
      </c>
      <c r="B85" t="s">
        <v>13</v>
      </c>
      <c r="C85" t="s">
        <v>41</v>
      </c>
      <c r="D85" t="s">
        <v>288</v>
      </c>
      <c r="F85" t="s">
        <v>397</v>
      </c>
      <c r="G85" s="11" t="s">
        <v>29</v>
      </c>
      <c r="H85" s="11" t="s">
        <v>29</v>
      </c>
      <c r="I85" s="11" t="s">
        <v>29</v>
      </c>
      <c r="J85" s="11">
        <f>RecetteTransport2[[#All],[Fibres TC NOK]]</f>
        <v>0</v>
      </c>
      <c r="K85" s="50">
        <f>RecetteTransport2[[#All],[Valeur Critique]]</f>
        <v>3</v>
      </c>
      <c r="L85" s="50">
        <f>AD:AD</f>
        <v>25</v>
      </c>
      <c r="N85" t="s">
        <v>193</v>
      </c>
      <c r="P85">
        <f xml:space="preserve"> _xlfn.ISOWEEKNUM(RecetteTransport2[[#This Row],[Date validation Optique]])</f>
        <v>52</v>
      </c>
      <c r="Q85">
        <f>YEAR(RecetteTransport2[[#This Row],[Date validation Optique]])</f>
        <v>1900</v>
      </c>
      <c r="R85" t="s">
        <v>193</v>
      </c>
      <c r="S85" s="2">
        <v>44253</v>
      </c>
      <c r="T85" s="50">
        <f>_xlfn.ISOWEEKNUM(RecetteTransport2[[#This Row],[Date Achevement  Mécanique]])</f>
        <v>8</v>
      </c>
      <c r="U85" s="50">
        <f>YEAR(RecetteTransport2[[#This Row],[Date Achevement  Mécanique]])</f>
        <v>2021</v>
      </c>
      <c r="V85" s="2">
        <v>44216</v>
      </c>
      <c r="W85" s="50">
        <f>_xlfn.ISOWEEKNUM(RecetteTransport2[[#This Row],[Date de mesure]])</f>
        <v>3</v>
      </c>
      <c r="X85" s="11">
        <f>YEAR(RecetteTransport2[[#This Row],[Date de mesure]])</f>
        <v>2021</v>
      </c>
      <c r="Y85" s="2">
        <v>44223</v>
      </c>
      <c r="Z85" s="50">
        <f>_xlfn.ISOWEEKNUM(RecetteTransport2[[#This Row],[Date envoie dossier mesure]])</f>
        <v>4</v>
      </c>
      <c r="AA85" s="50">
        <f>YEAR(RecetteTransport2[[#This Row],[Date envoie dossier mesure]])</f>
        <v>2021</v>
      </c>
      <c r="AB85" s="11">
        <v>0</v>
      </c>
      <c r="AC85" s="11">
        <v>3</v>
      </c>
      <c r="AD85" s="50">
        <v>25</v>
      </c>
      <c r="AE85" s="6" t="e">
        <f>RecetteTransport2[[#All],[Nb de reprises Optiques]]/#REF!</f>
        <v>#REF!</v>
      </c>
      <c r="AF85" s="6"/>
    </row>
    <row r="86" spans="1:32" x14ac:dyDescent="0.3">
      <c r="A86" t="s">
        <v>12</v>
      </c>
      <c r="D86" t="s">
        <v>459</v>
      </c>
      <c r="G86" s="11"/>
      <c r="H86" s="11"/>
      <c r="I86" s="11"/>
      <c r="J86" s="11">
        <f>RecetteTransport2[[#All],[Fibres TC NOK]]</f>
        <v>0</v>
      </c>
      <c r="K86" s="50">
        <f>RecetteTransport2[[#All],[Valeur Critique]]</f>
        <v>0</v>
      </c>
      <c r="L86" s="50">
        <f t="shared" ref="L86:L89" si="5">AD:AD</f>
        <v>0</v>
      </c>
      <c r="P86" s="11">
        <f xml:space="preserve"> _xlfn.ISOWEEKNUM(RecetteTransport2[[#This Row],[Date validation Optique]])</f>
        <v>52</v>
      </c>
      <c r="Q86" s="11">
        <f>YEAR(RecetteTransport2[[#This Row],[Date validation Optique]])</f>
        <v>1900</v>
      </c>
      <c r="S86" s="47" t="e">
        <f>#REF!+10</f>
        <v>#REF!</v>
      </c>
      <c r="T86" s="50" t="e">
        <f>_xlfn.ISOWEEKNUM(RecetteTransport2[[#This Row],[Date Achevement  Mécanique]])</f>
        <v>#REF!</v>
      </c>
      <c r="U86" s="50" t="e">
        <f>YEAR(RecetteTransport2[[#This Row],[Date Achevement  Mécanique]])</f>
        <v>#REF!</v>
      </c>
      <c r="V86" s="47"/>
      <c r="W86" s="50">
        <f>_xlfn.ISOWEEKNUM(RecetteTransport2[[#This Row],[Date de mesure]])</f>
        <v>52</v>
      </c>
      <c r="X86" s="11">
        <f>YEAR(RecetteTransport2[[#This Row],[Date de mesure]])</f>
        <v>1900</v>
      </c>
      <c r="Y86" s="47"/>
      <c r="Z86" s="50">
        <f>_xlfn.ISOWEEKNUM(RecetteTransport2[[#This Row],[Date envoie dossier mesure]])</f>
        <v>52</v>
      </c>
      <c r="AA86" s="50">
        <f>YEAR(RecetteTransport2[[#This Row],[Date envoie dossier mesure]])</f>
        <v>1900</v>
      </c>
      <c r="AB86" s="11"/>
      <c r="AC86" s="11"/>
      <c r="AE86" s="6" t="e">
        <f>RecetteTransport2[[#All],[Nb de reprises Optiques]]/#REF!</f>
        <v>#REF!</v>
      </c>
      <c r="AF86" s="6"/>
    </row>
    <row r="87" spans="1:32" x14ac:dyDescent="0.3">
      <c r="A87" t="s">
        <v>12</v>
      </c>
      <c r="D87" t="s">
        <v>460</v>
      </c>
      <c r="G87" s="11"/>
      <c r="H87" s="11"/>
      <c r="I87" s="11"/>
      <c r="J87" s="11">
        <f>RecetteTransport2[[#All],[Fibres TC NOK]]</f>
        <v>0</v>
      </c>
      <c r="K87" s="50">
        <f>RecetteTransport2[[#All],[Valeur Critique]]</f>
        <v>0</v>
      </c>
      <c r="L87" s="50">
        <f t="shared" si="5"/>
        <v>0</v>
      </c>
      <c r="P87" s="11">
        <f xml:space="preserve"> _xlfn.ISOWEEKNUM(RecetteTransport2[[#This Row],[Date validation Optique]])</f>
        <v>52</v>
      </c>
      <c r="Q87" s="11">
        <f>YEAR(RecetteTransport2[[#This Row],[Date validation Optique]])</f>
        <v>1900</v>
      </c>
      <c r="S87" s="47" t="e">
        <f>#REF!+10</f>
        <v>#REF!</v>
      </c>
      <c r="T87" s="50" t="e">
        <f>_xlfn.ISOWEEKNUM(RecetteTransport2[[#This Row],[Date Achevement  Mécanique]])</f>
        <v>#REF!</v>
      </c>
      <c r="U87" s="50" t="e">
        <f>YEAR(RecetteTransport2[[#This Row],[Date Achevement  Mécanique]])</f>
        <v>#REF!</v>
      </c>
      <c r="V87" s="47"/>
      <c r="W87" s="50">
        <f>_xlfn.ISOWEEKNUM(RecetteTransport2[[#This Row],[Date de mesure]])</f>
        <v>52</v>
      </c>
      <c r="X87" s="11">
        <f>YEAR(RecetteTransport2[[#This Row],[Date de mesure]])</f>
        <v>1900</v>
      </c>
      <c r="Y87" s="47"/>
      <c r="Z87" s="50">
        <f>_xlfn.ISOWEEKNUM(RecetteTransport2[[#This Row],[Date envoie dossier mesure]])</f>
        <v>52</v>
      </c>
      <c r="AA87" s="50">
        <f>YEAR(RecetteTransport2[[#This Row],[Date envoie dossier mesure]])</f>
        <v>1900</v>
      </c>
      <c r="AB87" s="11"/>
      <c r="AC87" s="11"/>
      <c r="AE87" s="6" t="e">
        <f>RecetteTransport2[[#All],[Nb de reprises Optiques]]/#REF!</f>
        <v>#REF!</v>
      </c>
      <c r="AF87" s="6"/>
    </row>
    <row r="88" spans="1:32" x14ac:dyDescent="0.3">
      <c r="A88" t="s">
        <v>12</v>
      </c>
      <c r="D88" t="s">
        <v>461</v>
      </c>
      <c r="G88" s="11"/>
      <c r="H88" s="11"/>
      <c r="I88" s="11"/>
      <c r="J88" s="11">
        <f>RecetteTransport2[[#All],[Fibres TC NOK]]</f>
        <v>0</v>
      </c>
      <c r="K88" s="50">
        <f>RecetteTransport2[[#All],[Valeur Critique]]</f>
        <v>0</v>
      </c>
      <c r="L88" s="50">
        <f t="shared" si="5"/>
        <v>0</v>
      </c>
      <c r="P88" s="11">
        <f xml:space="preserve"> _xlfn.ISOWEEKNUM(RecetteTransport2[[#This Row],[Date validation Optique]])</f>
        <v>52</v>
      </c>
      <c r="Q88" s="11">
        <f>YEAR(RecetteTransport2[[#This Row],[Date validation Optique]])</f>
        <v>1900</v>
      </c>
      <c r="S88" s="47" t="e">
        <f>#REF!+10</f>
        <v>#REF!</v>
      </c>
      <c r="T88" s="50" t="e">
        <f>_xlfn.ISOWEEKNUM(RecetteTransport2[[#This Row],[Date Achevement  Mécanique]])</f>
        <v>#REF!</v>
      </c>
      <c r="U88" s="50" t="e">
        <f>YEAR(RecetteTransport2[[#This Row],[Date Achevement  Mécanique]])</f>
        <v>#REF!</v>
      </c>
      <c r="V88" s="47"/>
      <c r="W88" s="50">
        <f>_xlfn.ISOWEEKNUM(RecetteTransport2[[#This Row],[Date de mesure]])</f>
        <v>52</v>
      </c>
      <c r="X88" s="11">
        <f>YEAR(RecetteTransport2[[#This Row],[Date de mesure]])</f>
        <v>1900</v>
      </c>
      <c r="Y88" s="47"/>
      <c r="Z88" s="50">
        <f>_xlfn.ISOWEEKNUM(RecetteTransport2[[#This Row],[Date envoie dossier mesure]])</f>
        <v>52</v>
      </c>
      <c r="AA88" s="50">
        <f>YEAR(RecetteTransport2[[#This Row],[Date envoie dossier mesure]])</f>
        <v>1900</v>
      </c>
      <c r="AB88" s="11"/>
      <c r="AC88" s="11"/>
      <c r="AE88" s="6" t="e">
        <f>RecetteTransport2[[#All],[Nb de reprises Optiques]]/#REF!</f>
        <v>#REF!</v>
      </c>
      <c r="AF88" s="6"/>
    </row>
    <row r="89" spans="1:32" x14ac:dyDescent="0.3">
      <c r="A89" t="s">
        <v>12</v>
      </c>
      <c r="D89" t="s">
        <v>462</v>
      </c>
      <c r="G89" s="11"/>
      <c r="H89" s="11"/>
      <c r="I89" s="11"/>
      <c r="J89" s="11">
        <f>RecetteTransport2[[#All],[Fibres TC NOK]]</f>
        <v>0</v>
      </c>
      <c r="K89" s="50">
        <f>RecetteTransport2[[#All],[Valeur Critique]]</f>
        <v>0</v>
      </c>
      <c r="L89" s="50">
        <f t="shared" si="5"/>
        <v>0</v>
      </c>
      <c r="P89" s="11">
        <f xml:space="preserve"> _xlfn.ISOWEEKNUM(RecetteTransport2[[#This Row],[Date validation Optique]])</f>
        <v>52</v>
      </c>
      <c r="Q89" s="11">
        <f>YEAR(RecetteTransport2[[#This Row],[Date validation Optique]])</f>
        <v>1900</v>
      </c>
      <c r="S89" s="47" t="e">
        <f>#REF!+10</f>
        <v>#REF!</v>
      </c>
      <c r="T89" s="50" t="e">
        <f>_xlfn.ISOWEEKNUM(RecetteTransport2[[#This Row],[Date Achevement  Mécanique]])</f>
        <v>#REF!</v>
      </c>
      <c r="U89" s="50" t="e">
        <f>YEAR(RecetteTransport2[[#This Row],[Date Achevement  Mécanique]])</f>
        <v>#REF!</v>
      </c>
      <c r="V89" s="47"/>
      <c r="W89" s="50">
        <f>_xlfn.ISOWEEKNUM(RecetteTransport2[[#This Row],[Date de mesure]])</f>
        <v>52</v>
      </c>
      <c r="X89" s="11">
        <f>YEAR(RecetteTransport2[[#This Row],[Date de mesure]])</f>
        <v>1900</v>
      </c>
      <c r="Y89" s="47"/>
      <c r="Z89" s="50">
        <f>_xlfn.ISOWEEKNUM(RecetteTransport2[[#This Row],[Date envoie dossier mesure]])</f>
        <v>52</v>
      </c>
      <c r="AA89" s="50">
        <f>YEAR(RecetteTransport2[[#This Row],[Date envoie dossier mesure]])</f>
        <v>1900</v>
      </c>
      <c r="AB89" s="11"/>
      <c r="AC89" s="11"/>
      <c r="AE89" s="6" t="e">
        <f>RecetteTransport2[[#All],[Nb de reprises Optiques]]/#REF!</f>
        <v>#REF!</v>
      </c>
      <c r="AF89" s="6"/>
    </row>
    <row r="90" spans="1:32" hidden="1" x14ac:dyDescent="0.3">
      <c r="A90" t="s">
        <v>12</v>
      </c>
      <c r="B90" t="s">
        <v>13</v>
      </c>
      <c r="C90" t="s">
        <v>388</v>
      </c>
      <c r="D90" t="s">
        <v>387</v>
      </c>
      <c r="G90" s="11"/>
      <c r="H90" s="11" t="s">
        <v>29</v>
      </c>
      <c r="I90" s="11"/>
      <c r="J90" s="11">
        <f>RecetteTransport2[[#All],[Fibres TC NOK]]</f>
        <v>0</v>
      </c>
      <c r="K90" s="50">
        <f>RecetteTransport2[[#All],[Valeur Critique]]</f>
        <v>0</v>
      </c>
      <c r="L90" s="50">
        <f>AD:AD</f>
        <v>0</v>
      </c>
      <c r="N90" t="s">
        <v>65</v>
      </c>
      <c r="P90">
        <f xml:space="preserve"> _xlfn.ISOWEEKNUM(RecetteTransport2[[#This Row],[Date validation Optique]])</f>
        <v>52</v>
      </c>
      <c r="Q90">
        <f>YEAR(RecetteTransport2[[#This Row],[Date validation Optique]])</f>
        <v>1900</v>
      </c>
      <c r="T90" s="50">
        <f>_xlfn.ISOWEEKNUM(RecetteTransport2[[#This Row],[Date Achevement  Mécanique]])</f>
        <v>52</v>
      </c>
      <c r="U90" s="50">
        <f>YEAR(RecetteTransport2[[#This Row],[Date Achevement  Mécanique]])</f>
        <v>1900</v>
      </c>
      <c r="V90" s="2">
        <v>44267</v>
      </c>
      <c r="W90" s="50">
        <f>_xlfn.ISOWEEKNUM(RecetteTransport2[[#This Row],[Date de mesure]])</f>
        <v>10</v>
      </c>
      <c r="X90" s="11">
        <f>YEAR(RecetteTransport2[[#This Row],[Date de mesure]])</f>
        <v>2021</v>
      </c>
      <c r="Z90" s="50">
        <f>_xlfn.ISOWEEKNUM(RecetteTransport2[[#This Row],[Date envoie dossier mesure]])</f>
        <v>52</v>
      </c>
      <c r="AA90" s="50">
        <f>YEAR(RecetteTransport2[[#This Row],[Date envoie dossier mesure]])</f>
        <v>1900</v>
      </c>
      <c r="AB90" s="11"/>
      <c r="AC90" s="11"/>
      <c r="AE90" s="6" t="e">
        <f>RecetteTransport2[[#All],[Nb de reprises Optiques]]/#REF!</f>
        <v>#REF!</v>
      </c>
      <c r="AF90" s="6"/>
    </row>
    <row r="91" spans="1:32" x14ac:dyDescent="0.3">
      <c r="A91" t="s">
        <v>12</v>
      </c>
      <c r="D91" t="s">
        <v>463</v>
      </c>
      <c r="G91" s="11"/>
      <c r="H91" s="11"/>
      <c r="I91" s="11"/>
      <c r="J91" s="11">
        <f>RecetteTransport2[[#All],[Fibres TC NOK]]</f>
        <v>0</v>
      </c>
      <c r="K91" s="50">
        <f>RecetteTransport2[[#All],[Valeur Critique]]</f>
        <v>0</v>
      </c>
      <c r="L91" s="50">
        <f t="shared" ref="L91:L101" si="6">AD:AD</f>
        <v>0</v>
      </c>
      <c r="P91" s="11">
        <f xml:space="preserve"> _xlfn.ISOWEEKNUM(RecetteTransport2[[#This Row],[Date validation Optique]])</f>
        <v>52</v>
      </c>
      <c r="Q91" s="11">
        <f>YEAR(RecetteTransport2[[#This Row],[Date validation Optique]])</f>
        <v>1900</v>
      </c>
      <c r="S91" s="47" t="e">
        <f>#REF!+10</f>
        <v>#REF!</v>
      </c>
      <c r="T91" s="50" t="e">
        <f>_xlfn.ISOWEEKNUM(RecetteTransport2[[#This Row],[Date Achevement  Mécanique]])</f>
        <v>#REF!</v>
      </c>
      <c r="U91" s="50" t="e">
        <f>YEAR(RecetteTransport2[[#This Row],[Date Achevement  Mécanique]])</f>
        <v>#REF!</v>
      </c>
      <c r="V91" s="47"/>
      <c r="W91" s="50">
        <f>_xlfn.ISOWEEKNUM(RecetteTransport2[[#This Row],[Date de mesure]])</f>
        <v>52</v>
      </c>
      <c r="X91" s="11">
        <f>YEAR(RecetteTransport2[[#This Row],[Date de mesure]])</f>
        <v>1900</v>
      </c>
      <c r="Y91" s="47"/>
      <c r="Z91" s="50">
        <f>_xlfn.ISOWEEKNUM(RecetteTransport2[[#This Row],[Date envoie dossier mesure]])</f>
        <v>52</v>
      </c>
      <c r="AA91" s="50">
        <f>YEAR(RecetteTransport2[[#This Row],[Date envoie dossier mesure]])</f>
        <v>1900</v>
      </c>
      <c r="AB91" s="11"/>
      <c r="AC91" s="11"/>
      <c r="AE91" s="6" t="e">
        <f>RecetteTransport2[[#All],[Nb de reprises Optiques]]/#REF!</f>
        <v>#REF!</v>
      </c>
      <c r="AF91" s="6"/>
    </row>
    <row r="92" spans="1:32" x14ac:dyDescent="0.3">
      <c r="A92" t="s">
        <v>12</v>
      </c>
      <c r="D92" t="s">
        <v>464</v>
      </c>
      <c r="G92" s="11"/>
      <c r="H92" s="11"/>
      <c r="I92" s="11"/>
      <c r="J92" s="11">
        <f>RecetteTransport2[[#All],[Fibres TC NOK]]</f>
        <v>0</v>
      </c>
      <c r="K92" s="50">
        <f>RecetteTransport2[[#All],[Valeur Critique]]</f>
        <v>0</v>
      </c>
      <c r="L92" s="50">
        <f t="shared" si="6"/>
        <v>0</v>
      </c>
      <c r="P92" s="11">
        <f xml:space="preserve"> _xlfn.ISOWEEKNUM(RecetteTransport2[[#This Row],[Date validation Optique]])</f>
        <v>52</v>
      </c>
      <c r="Q92" s="11">
        <f>YEAR(RecetteTransport2[[#This Row],[Date validation Optique]])</f>
        <v>1900</v>
      </c>
      <c r="S92" s="47" t="e">
        <f>#REF!+10</f>
        <v>#REF!</v>
      </c>
      <c r="T92" s="50" t="e">
        <f>_xlfn.ISOWEEKNUM(RecetteTransport2[[#This Row],[Date Achevement  Mécanique]])</f>
        <v>#REF!</v>
      </c>
      <c r="U92" s="50" t="e">
        <f>YEAR(RecetteTransport2[[#This Row],[Date Achevement  Mécanique]])</f>
        <v>#REF!</v>
      </c>
      <c r="V92" s="47"/>
      <c r="W92" s="50">
        <f>_xlfn.ISOWEEKNUM(RecetteTransport2[[#This Row],[Date de mesure]])</f>
        <v>52</v>
      </c>
      <c r="X92" s="11">
        <f>YEAR(RecetteTransport2[[#This Row],[Date de mesure]])</f>
        <v>1900</v>
      </c>
      <c r="Y92" s="47"/>
      <c r="Z92" s="50">
        <f>_xlfn.ISOWEEKNUM(RecetteTransport2[[#This Row],[Date envoie dossier mesure]])</f>
        <v>52</v>
      </c>
      <c r="AA92" s="50">
        <f>YEAR(RecetteTransport2[[#This Row],[Date envoie dossier mesure]])</f>
        <v>1900</v>
      </c>
      <c r="AB92" s="11"/>
      <c r="AC92" s="11"/>
      <c r="AE92" s="6" t="e">
        <f>RecetteTransport2[[#All],[Nb de reprises Optiques]]/#REF!</f>
        <v>#REF!</v>
      </c>
      <c r="AF92" s="6"/>
    </row>
    <row r="93" spans="1:32" x14ac:dyDescent="0.3">
      <c r="A93" t="s">
        <v>12</v>
      </c>
      <c r="B93" t="s">
        <v>13</v>
      </c>
      <c r="C93" t="s">
        <v>601</v>
      </c>
      <c r="D93" t="s">
        <v>465</v>
      </c>
      <c r="G93" s="11"/>
      <c r="H93" s="11"/>
      <c r="I93" s="11"/>
      <c r="J93" s="11">
        <f>RecetteTransport2[[#All],[Fibres TC NOK]]</f>
        <v>0</v>
      </c>
      <c r="K93" s="50">
        <f>RecetteTransport2[[#All],[Valeur Critique]]</f>
        <v>0</v>
      </c>
      <c r="L93" s="50">
        <f t="shared" si="6"/>
        <v>0</v>
      </c>
      <c r="P93" s="11">
        <f xml:space="preserve"> _xlfn.ISOWEEKNUM(RecetteTransport2[[#This Row],[Date validation Optique]])</f>
        <v>52</v>
      </c>
      <c r="Q93" s="11">
        <f>YEAR(RecetteTransport2[[#This Row],[Date validation Optique]])</f>
        <v>1900</v>
      </c>
      <c r="S93" s="47" t="e">
        <f>#REF!+10</f>
        <v>#REF!</v>
      </c>
      <c r="T93" s="50" t="e">
        <f>_xlfn.ISOWEEKNUM(RecetteTransport2[[#This Row],[Date Achevement  Mécanique]])</f>
        <v>#REF!</v>
      </c>
      <c r="U93" s="50" t="e">
        <f>YEAR(RecetteTransport2[[#This Row],[Date Achevement  Mécanique]])</f>
        <v>#REF!</v>
      </c>
      <c r="V93" s="47"/>
      <c r="W93" s="50">
        <f>_xlfn.ISOWEEKNUM(RecetteTransport2[[#This Row],[Date de mesure]])</f>
        <v>52</v>
      </c>
      <c r="X93" s="11">
        <f>YEAR(RecetteTransport2[[#This Row],[Date de mesure]])</f>
        <v>1900</v>
      </c>
      <c r="Y93" s="47"/>
      <c r="Z93" s="50">
        <f>_xlfn.ISOWEEKNUM(RecetteTransport2[[#This Row],[Date envoie dossier mesure]])</f>
        <v>52</v>
      </c>
      <c r="AA93" s="50">
        <f>YEAR(RecetteTransport2[[#This Row],[Date envoie dossier mesure]])</f>
        <v>1900</v>
      </c>
      <c r="AB93" s="11"/>
      <c r="AC93" s="11"/>
      <c r="AE93" s="6" t="e">
        <f>RecetteTransport2[[#All],[Nb de reprises Optiques]]/#REF!</f>
        <v>#REF!</v>
      </c>
      <c r="AF93" s="6"/>
    </row>
    <row r="94" spans="1:32" x14ac:dyDescent="0.3">
      <c r="A94" t="s">
        <v>12</v>
      </c>
      <c r="B94" t="s">
        <v>13</v>
      </c>
      <c r="C94" t="s">
        <v>601</v>
      </c>
      <c r="D94" t="s">
        <v>466</v>
      </c>
      <c r="G94" s="11"/>
      <c r="H94" s="11"/>
      <c r="I94" s="11"/>
      <c r="J94" s="11">
        <f>RecetteTransport2[[#All],[Fibres TC NOK]]</f>
        <v>0</v>
      </c>
      <c r="K94" s="50">
        <f>RecetteTransport2[[#All],[Valeur Critique]]</f>
        <v>0</v>
      </c>
      <c r="L94" s="50">
        <f t="shared" si="6"/>
        <v>0</v>
      </c>
      <c r="P94" s="11">
        <f xml:space="preserve"> _xlfn.ISOWEEKNUM(RecetteTransport2[[#This Row],[Date validation Optique]])</f>
        <v>52</v>
      </c>
      <c r="Q94" s="11">
        <f>YEAR(RecetteTransport2[[#This Row],[Date validation Optique]])</f>
        <v>1900</v>
      </c>
      <c r="S94" s="47" t="e">
        <f>#REF!+10</f>
        <v>#REF!</v>
      </c>
      <c r="T94" s="50" t="e">
        <f>_xlfn.ISOWEEKNUM(RecetteTransport2[[#This Row],[Date Achevement  Mécanique]])</f>
        <v>#REF!</v>
      </c>
      <c r="U94" s="50" t="e">
        <f>YEAR(RecetteTransport2[[#This Row],[Date Achevement  Mécanique]])</f>
        <v>#REF!</v>
      </c>
      <c r="V94" s="47"/>
      <c r="W94" s="50">
        <f>_xlfn.ISOWEEKNUM(RecetteTransport2[[#This Row],[Date de mesure]])</f>
        <v>52</v>
      </c>
      <c r="X94" s="11">
        <f>YEAR(RecetteTransport2[[#This Row],[Date de mesure]])</f>
        <v>1900</v>
      </c>
      <c r="Y94" s="47"/>
      <c r="Z94" s="50">
        <f>_xlfn.ISOWEEKNUM(RecetteTransport2[[#This Row],[Date envoie dossier mesure]])</f>
        <v>52</v>
      </c>
      <c r="AA94" s="50">
        <f>YEAR(RecetteTransport2[[#This Row],[Date envoie dossier mesure]])</f>
        <v>1900</v>
      </c>
      <c r="AB94" s="11"/>
      <c r="AC94" s="11"/>
      <c r="AE94" s="6" t="e">
        <f>RecetteTransport2[[#All],[Nb de reprises Optiques]]/#REF!</f>
        <v>#REF!</v>
      </c>
      <c r="AF94" s="6"/>
    </row>
    <row r="95" spans="1:32" x14ac:dyDescent="0.3">
      <c r="A95" t="s">
        <v>12</v>
      </c>
      <c r="B95" t="s">
        <v>13</v>
      </c>
      <c r="C95" t="s">
        <v>601</v>
      </c>
      <c r="D95" t="s">
        <v>467</v>
      </c>
      <c r="G95" s="11"/>
      <c r="H95" s="11"/>
      <c r="I95" s="11"/>
      <c r="J95" s="11">
        <f>RecetteTransport2[[#All],[Fibres TC NOK]]</f>
        <v>0</v>
      </c>
      <c r="K95" s="50">
        <f>RecetteTransport2[[#All],[Valeur Critique]]</f>
        <v>0</v>
      </c>
      <c r="L95" s="50">
        <f t="shared" si="6"/>
        <v>0</v>
      </c>
      <c r="P95" s="11">
        <f xml:space="preserve"> _xlfn.ISOWEEKNUM(RecetteTransport2[[#This Row],[Date validation Optique]])</f>
        <v>52</v>
      </c>
      <c r="Q95" s="11">
        <f>YEAR(RecetteTransport2[[#This Row],[Date validation Optique]])</f>
        <v>1900</v>
      </c>
      <c r="S95" s="47" t="e">
        <f>#REF!+10</f>
        <v>#REF!</v>
      </c>
      <c r="T95" s="50" t="e">
        <f>_xlfn.ISOWEEKNUM(RecetteTransport2[[#This Row],[Date Achevement  Mécanique]])</f>
        <v>#REF!</v>
      </c>
      <c r="U95" s="50" t="e">
        <f>YEAR(RecetteTransport2[[#This Row],[Date Achevement  Mécanique]])</f>
        <v>#REF!</v>
      </c>
      <c r="V95" s="47"/>
      <c r="W95" s="50">
        <f>_xlfn.ISOWEEKNUM(RecetteTransport2[[#This Row],[Date de mesure]])</f>
        <v>52</v>
      </c>
      <c r="X95" s="11">
        <f>YEAR(RecetteTransport2[[#This Row],[Date de mesure]])</f>
        <v>1900</v>
      </c>
      <c r="Y95" s="47"/>
      <c r="Z95" s="50">
        <f>_xlfn.ISOWEEKNUM(RecetteTransport2[[#This Row],[Date envoie dossier mesure]])</f>
        <v>52</v>
      </c>
      <c r="AA95" s="50">
        <f>YEAR(RecetteTransport2[[#This Row],[Date envoie dossier mesure]])</f>
        <v>1900</v>
      </c>
      <c r="AB95" s="11"/>
      <c r="AC95" s="11"/>
      <c r="AE95" s="6" t="e">
        <f>RecetteTransport2[[#All],[Nb de reprises Optiques]]/#REF!</f>
        <v>#REF!</v>
      </c>
      <c r="AF95" s="6"/>
    </row>
    <row r="96" spans="1:32" x14ac:dyDescent="0.3">
      <c r="A96" t="s">
        <v>12</v>
      </c>
      <c r="B96" t="s">
        <v>13</v>
      </c>
      <c r="C96" t="s">
        <v>601</v>
      </c>
      <c r="D96" t="s">
        <v>468</v>
      </c>
      <c r="G96" s="11"/>
      <c r="H96" s="11"/>
      <c r="I96" s="11"/>
      <c r="J96" s="11">
        <f>RecetteTransport2[[#All],[Fibres TC NOK]]</f>
        <v>0</v>
      </c>
      <c r="K96" s="50">
        <f>RecetteTransport2[[#All],[Valeur Critique]]</f>
        <v>0</v>
      </c>
      <c r="L96" s="50">
        <f t="shared" si="6"/>
        <v>0</v>
      </c>
      <c r="P96" s="11">
        <f xml:space="preserve"> _xlfn.ISOWEEKNUM(RecetteTransport2[[#This Row],[Date validation Optique]])</f>
        <v>52</v>
      </c>
      <c r="Q96" s="11">
        <f>YEAR(RecetteTransport2[[#This Row],[Date validation Optique]])</f>
        <v>1900</v>
      </c>
      <c r="S96" s="47" t="e">
        <f>#REF!+10</f>
        <v>#REF!</v>
      </c>
      <c r="T96" s="50" t="e">
        <f>_xlfn.ISOWEEKNUM(RecetteTransport2[[#This Row],[Date Achevement  Mécanique]])</f>
        <v>#REF!</v>
      </c>
      <c r="U96" s="50" t="e">
        <f>YEAR(RecetteTransport2[[#This Row],[Date Achevement  Mécanique]])</f>
        <v>#REF!</v>
      </c>
      <c r="V96" s="47"/>
      <c r="W96" s="50">
        <f>_xlfn.ISOWEEKNUM(RecetteTransport2[[#This Row],[Date de mesure]])</f>
        <v>52</v>
      </c>
      <c r="X96" s="11">
        <f>YEAR(RecetteTransport2[[#This Row],[Date de mesure]])</f>
        <v>1900</v>
      </c>
      <c r="Y96" s="47"/>
      <c r="Z96" s="50">
        <f>_xlfn.ISOWEEKNUM(RecetteTransport2[[#This Row],[Date envoie dossier mesure]])</f>
        <v>52</v>
      </c>
      <c r="AA96" s="50">
        <f>YEAR(RecetteTransport2[[#This Row],[Date envoie dossier mesure]])</f>
        <v>1900</v>
      </c>
      <c r="AB96" s="11"/>
      <c r="AC96" s="11"/>
      <c r="AE96" s="6" t="e">
        <f>RecetteTransport2[[#All],[Nb de reprises Optiques]]/#REF!</f>
        <v>#REF!</v>
      </c>
      <c r="AF96" s="6"/>
    </row>
    <row r="97" spans="1:32" x14ac:dyDescent="0.3">
      <c r="A97" t="s">
        <v>12</v>
      </c>
      <c r="B97" t="s">
        <v>13</v>
      </c>
      <c r="C97" t="s">
        <v>601</v>
      </c>
      <c r="D97" t="s">
        <v>469</v>
      </c>
      <c r="G97" s="11"/>
      <c r="H97" s="11"/>
      <c r="I97" s="11"/>
      <c r="J97" s="11">
        <f>RecetteTransport2[[#All],[Fibres TC NOK]]</f>
        <v>0</v>
      </c>
      <c r="K97" s="50">
        <f>RecetteTransport2[[#All],[Valeur Critique]]</f>
        <v>0</v>
      </c>
      <c r="L97" s="50">
        <f t="shared" si="6"/>
        <v>0</v>
      </c>
      <c r="P97" s="11">
        <f xml:space="preserve"> _xlfn.ISOWEEKNUM(RecetteTransport2[[#This Row],[Date validation Optique]])</f>
        <v>52</v>
      </c>
      <c r="Q97" s="11">
        <f>YEAR(RecetteTransport2[[#This Row],[Date validation Optique]])</f>
        <v>1900</v>
      </c>
      <c r="S97" s="47" t="e">
        <f>#REF!+10</f>
        <v>#REF!</v>
      </c>
      <c r="T97" s="50" t="e">
        <f>_xlfn.ISOWEEKNUM(RecetteTransport2[[#This Row],[Date Achevement  Mécanique]])</f>
        <v>#REF!</v>
      </c>
      <c r="U97" s="50" t="e">
        <f>YEAR(RecetteTransport2[[#This Row],[Date Achevement  Mécanique]])</f>
        <v>#REF!</v>
      </c>
      <c r="V97" s="47"/>
      <c r="W97" s="50">
        <f>_xlfn.ISOWEEKNUM(RecetteTransport2[[#This Row],[Date de mesure]])</f>
        <v>52</v>
      </c>
      <c r="X97" s="11">
        <f>YEAR(RecetteTransport2[[#This Row],[Date de mesure]])</f>
        <v>1900</v>
      </c>
      <c r="Y97" s="47"/>
      <c r="Z97" s="50">
        <f>_xlfn.ISOWEEKNUM(RecetteTransport2[[#This Row],[Date envoie dossier mesure]])</f>
        <v>52</v>
      </c>
      <c r="AA97" s="50">
        <f>YEAR(RecetteTransport2[[#This Row],[Date envoie dossier mesure]])</f>
        <v>1900</v>
      </c>
      <c r="AB97" s="11"/>
      <c r="AC97" s="11"/>
      <c r="AE97" s="6" t="e">
        <f>RecetteTransport2[[#All],[Nb de reprises Optiques]]/#REF!</f>
        <v>#REF!</v>
      </c>
      <c r="AF97" s="6"/>
    </row>
    <row r="98" spans="1:32" x14ac:dyDescent="0.3">
      <c r="A98" t="s">
        <v>12</v>
      </c>
      <c r="B98" t="s">
        <v>13</v>
      </c>
      <c r="C98" t="s">
        <v>601</v>
      </c>
      <c r="D98" t="s">
        <v>470</v>
      </c>
      <c r="G98" s="11"/>
      <c r="H98" s="11"/>
      <c r="I98" s="11"/>
      <c r="J98" s="11">
        <f>RecetteTransport2[[#All],[Fibres TC NOK]]</f>
        <v>0</v>
      </c>
      <c r="K98" s="50">
        <f>RecetteTransport2[[#All],[Valeur Critique]]</f>
        <v>0</v>
      </c>
      <c r="L98" s="50">
        <f t="shared" si="6"/>
        <v>0</v>
      </c>
      <c r="P98" s="11">
        <f xml:space="preserve"> _xlfn.ISOWEEKNUM(RecetteTransport2[[#This Row],[Date validation Optique]])</f>
        <v>52</v>
      </c>
      <c r="Q98" s="11">
        <f>YEAR(RecetteTransport2[[#This Row],[Date validation Optique]])</f>
        <v>1900</v>
      </c>
      <c r="S98" s="47" t="e">
        <f>#REF!+10</f>
        <v>#REF!</v>
      </c>
      <c r="T98" s="50" t="e">
        <f>_xlfn.ISOWEEKNUM(RecetteTransport2[[#This Row],[Date Achevement  Mécanique]])</f>
        <v>#REF!</v>
      </c>
      <c r="U98" s="50" t="e">
        <f>YEAR(RecetteTransport2[[#This Row],[Date Achevement  Mécanique]])</f>
        <v>#REF!</v>
      </c>
      <c r="V98" s="47"/>
      <c r="W98" s="50">
        <f>_xlfn.ISOWEEKNUM(RecetteTransport2[[#This Row],[Date de mesure]])</f>
        <v>52</v>
      </c>
      <c r="X98" s="11">
        <f>YEAR(RecetteTransport2[[#This Row],[Date de mesure]])</f>
        <v>1900</v>
      </c>
      <c r="Y98" s="47"/>
      <c r="Z98" s="50">
        <f>_xlfn.ISOWEEKNUM(RecetteTransport2[[#This Row],[Date envoie dossier mesure]])</f>
        <v>52</v>
      </c>
      <c r="AA98" s="50">
        <f>YEAR(RecetteTransport2[[#This Row],[Date envoie dossier mesure]])</f>
        <v>1900</v>
      </c>
      <c r="AB98" s="11"/>
      <c r="AC98" s="11"/>
      <c r="AE98" s="6" t="e">
        <f>RecetteTransport2[[#All],[Nb de reprises Optiques]]/#REF!</f>
        <v>#REF!</v>
      </c>
      <c r="AF98" s="6"/>
    </row>
    <row r="99" spans="1:32" x14ac:dyDescent="0.3">
      <c r="A99" t="s">
        <v>12</v>
      </c>
      <c r="B99" t="s">
        <v>13</v>
      </c>
      <c r="C99" t="s">
        <v>601</v>
      </c>
      <c r="D99" t="s">
        <v>471</v>
      </c>
      <c r="G99" s="11"/>
      <c r="H99" s="11"/>
      <c r="I99" s="11"/>
      <c r="J99" s="11">
        <f>RecetteTransport2[[#All],[Fibres TC NOK]]</f>
        <v>0</v>
      </c>
      <c r="K99" s="50">
        <f>RecetteTransport2[[#All],[Valeur Critique]]</f>
        <v>0</v>
      </c>
      <c r="L99" s="50">
        <f t="shared" si="6"/>
        <v>0</v>
      </c>
      <c r="P99" s="11">
        <f xml:space="preserve"> _xlfn.ISOWEEKNUM(RecetteTransport2[[#This Row],[Date validation Optique]])</f>
        <v>52</v>
      </c>
      <c r="Q99" s="11">
        <f>YEAR(RecetteTransport2[[#This Row],[Date validation Optique]])</f>
        <v>1900</v>
      </c>
      <c r="S99" s="47" t="e">
        <f>#REF!+10</f>
        <v>#REF!</v>
      </c>
      <c r="T99" s="50" t="e">
        <f>_xlfn.ISOWEEKNUM(RecetteTransport2[[#This Row],[Date Achevement  Mécanique]])</f>
        <v>#REF!</v>
      </c>
      <c r="U99" s="50" t="e">
        <f>YEAR(RecetteTransport2[[#This Row],[Date Achevement  Mécanique]])</f>
        <v>#REF!</v>
      </c>
      <c r="V99" s="47"/>
      <c r="W99" s="50">
        <f>_xlfn.ISOWEEKNUM(RecetteTransport2[[#This Row],[Date de mesure]])</f>
        <v>52</v>
      </c>
      <c r="X99" s="11">
        <f>YEAR(RecetteTransport2[[#This Row],[Date de mesure]])</f>
        <v>1900</v>
      </c>
      <c r="Y99" s="47"/>
      <c r="Z99" s="50">
        <f>_xlfn.ISOWEEKNUM(RecetteTransport2[[#This Row],[Date envoie dossier mesure]])</f>
        <v>52</v>
      </c>
      <c r="AA99" s="50">
        <f>YEAR(RecetteTransport2[[#This Row],[Date envoie dossier mesure]])</f>
        <v>1900</v>
      </c>
      <c r="AB99" s="11"/>
      <c r="AC99" s="11"/>
      <c r="AE99" s="6" t="e">
        <f>RecetteTransport2[[#All],[Nb de reprises Optiques]]/#REF!</f>
        <v>#REF!</v>
      </c>
      <c r="AF99" s="6"/>
    </row>
    <row r="100" spans="1:32" x14ac:dyDescent="0.3">
      <c r="A100" t="s">
        <v>12</v>
      </c>
      <c r="D100" t="s">
        <v>472</v>
      </c>
      <c r="G100" s="11"/>
      <c r="H100" s="11"/>
      <c r="I100" s="11"/>
      <c r="J100" s="11">
        <f>RecetteTransport2[[#All],[Fibres TC NOK]]</f>
        <v>0</v>
      </c>
      <c r="K100" s="50">
        <f>RecetteTransport2[[#All],[Valeur Critique]]</f>
        <v>0</v>
      </c>
      <c r="L100" s="50">
        <f t="shared" si="6"/>
        <v>0</v>
      </c>
      <c r="P100" s="11">
        <f xml:space="preserve"> _xlfn.ISOWEEKNUM(RecetteTransport2[[#This Row],[Date validation Optique]])</f>
        <v>52</v>
      </c>
      <c r="Q100" s="11">
        <f>YEAR(RecetteTransport2[[#This Row],[Date validation Optique]])</f>
        <v>1900</v>
      </c>
      <c r="S100" s="47" t="e">
        <f>#REF!+10</f>
        <v>#REF!</v>
      </c>
      <c r="T100" s="50" t="e">
        <f>_xlfn.ISOWEEKNUM(RecetteTransport2[[#This Row],[Date Achevement  Mécanique]])</f>
        <v>#REF!</v>
      </c>
      <c r="U100" s="50" t="e">
        <f>YEAR(RecetteTransport2[[#This Row],[Date Achevement  Mécanique]])</f>
        <v>#REF!</v>
      </c>
      <c r="V100" s="47"/>
      <c r="W100" s="50">
        <f>_xlfn.ISOWEEKNUM(RecetteTransport2[[#This Row],[Date de mesure]])</f>
        <v>52</v>
      </c>
      <c r="X100" s="11">
        <f>YEAR(RecetteTransport2[[#This Row],[Date de mesure]])</f>
        <v>1900</v>
      </c>
      <c r="Y100" s="47"/>
      <c r="Z100" s="50">
        <f>_xlfn.ISOWEEKNUM(RecetteTransport2[[#This Row],[Date envoie dossier mesure]])</f>
        <v>52</v>
      </c>
      <c r="AA100" s="50">
        <f>YEAR(RecetteTransport2[[#This Row],[Date envoie dossier mesure]])</f>
        <v>1900</v>
      </c>
      <c r="AB100" s="11"/>
      <c r="AC100" s="11"/>
      <c r="AE100" s="6" t="e">
        <f>RecetteTransport2[[#All],[Nb de reprises Optiques]]/#REF!</f>
        <v>#REF!</v>
      </c>
      <c r="AF100" s="6"/>
    </row>
    <row r="101" spans="1:32" x14ac:dyDescent="0.3">
      <c r="A101" t="s">
        <v>12</v>
      </c>
      <c r="D101" t="s">
        <v>473</v>
      </c>
      <c r="G101" s="11"/>
      <c r="H101" s="11"/>
      <c r="I101" s="11"/>
      <c r="J101" s="11">
        <f>RecetteTransport2[[#All],[Fibres TC NOK]]</f>
        <v>0</v>
      </c>
      <c r="K101" s="50">
        <f>RecetteTransport2[[#All],[Valeur Critique]]</f>
        <v>0</v>
      </c>
      <c r="L101" s="50">
        <f t="shared" si="6"/>
        <v>0</v>
      </c>
      <c r="P101" s="11">
        <f xml:space="preserve"> _xlfn.ISOWEEKNUM(RecetteTransport2[[#This Row],[Date validation Optique]])</f>
        <v>52</v>
      </c>
      <c r="Q101" s="11">
        <f>YEAR(RecetteTransport2[[#This Row],[Date validation Optique]])</f>
        <v>1900</v>
      </c>
      <c r="S101" s="47" t="e">
        <f>#REF!+10</f>
        <v>#REF!</v>
      </c>
      <c r="T101" s="50" t="e">
        <f>_xlfn.ISOWEEKNUM(RecetteTransport2[[#This Row],[Date Achevement  Mécanique]])</f>
        <v>#REF!</v>
      </c>
      <c r="U101" s="50" t="e">
        <f>YEAR(RecetteTransport2[[#This Row],[Date Achevement  Mécanique]])</f>
        <v>#REF!</v>
      </c>
      <c r="V101" s="47"/>
      <c r="W101" s="50">
        <f>_xlfn.ISOWEEKNUM(RecetteTransport2[[#This Row],[Date de mesure]])</f>
        <v>52</v>
      </c>
      <c r="X101" s="11">
        <f>YEAR(RecetteTransport2[[#This Row],[Date de mesure]])</f>
        <v>1900</v>
      </c>
      <c r="Y101" s="47"/>
      <c r="Z101" s="50">
        <f>_xlfn.ISOWEEKNUM(RecetteTransport2[[#This Row],[Date envoie dossier mesure]])</f>
        <v>52</v>
      </c>
      <c r="AA101" s="50">
        <f>YEAR(RecetteTransport2[[#This Row],[Date envoie dossier mesure]])</f>
        <v>1900</v>
      </c>
      <c r="AB101" s="11"/>
      <c r="AC101" s="11"/>
      <c r="AE101" s="6" t="e">
        <f>RecetteTransport2[[#All],[Nb de reprises Optiques]]/#REF!</f>
        <v>#REF!</v>
      </c>
      <c r="AF101" s="6"/>
    </row>
    <row r="102" spans="1:32" hidden="1" x14ac:dyDescent="0.3">
      <c r="A102" t="s">
        <v>12</v>
      </c>
      <c r="B102" t="s">
        <v>20</v>
      </c>
      <c r="C102" t="s">
        <v>341</v>
      </c>
      <c r="D102" t="s">
        <v>346</v>
      </c>
      <c r="G102" s="11"/>
      <c r="H102" s="11" t="s">
        <v>29</v>
      </c>
      <c r="I102" s="11" t="s">
        <v>29</v>
      </c>
      <c r="J102" s="11">
        <f>RecetteTransport2[[#All],[Fibres TC NOK]]</f>
        <v>1</v>
      </c>
      <c r="K102" s="50">
        <f>RecetteTransport2[[#All],[Valeur Critique]]</f>
        <v>0</v>
      </c>
      <c r="L102" s="50">
        <f>AD:AD</f>
        <v>21</v>
      </c>
      <c r="N102" t="s">
        <v>65</v>
      </c>
      <c r="P102">
        <f xml:space="preserve"> _xlfn.ISOWEEKNUM(RecetteTransport2[[#This Row],[Date validation Optique]])</f>
        <v>52</v>
      </c>
      <c r="Q102">
        <f>YEAR(RecetteTransport2[[#This Row],[Date validation Optique]])</f>
        <v>1900</v>
      </c>
      <c r="T102" s="50">
        <f>_xlfn.ISOWEEKNUM(RecetteTransport2[[#This Row],[Date Achevement  Mécanique]])</f>
        <v>52</v>
      </c>
      <c r="U102" s="50">
        <f>YEAR(RecetteTransport2[[#This Row],[Date Achevement  Mécanique]])</f>
        <v>1900</v>
      </c>
      <c r="V102" s="2">
        <v>44257</v>
      </c>
      <c r="W102" s="50">
        <f>_xlfn.ISOWEEKNUM(RecetteTransport2[[#This Row],[Date de mesure]])</f>
        <v>9</v>
      </c>
      <c r="X102" s="11">
        <f>YEAR(RecetteTransport2[[#This Row],[Date de mesure]])</f>
        <v>2021</v>
      </c>
      <c r="Y102" s="2">
        <v>44270</v>
      </c>
      <c r="Z102" s="50">
        <f>_xlfn.ISOWEEKNUM(RecetteTransport2[[#This Row],[Date envoie dossier mesure]])</f>
        <v>11</v>
      </c>
      <c r="AA102" s="50">
        <f>YEAR(RecetteTransport2[[#This Row],[Date envoie dossier mesure]])</f>
        <v>2021</v>
      </c>
      <c r="AB102" s="11">
        <v>1</v>
      </c>
      <c r="AC102" s="11">
        <v>0</v>
      </c>
      <c r="AD102" s="50">
        <v>21</v>
      </c>
      <c r="AE102" s="6" t="e">
        <f>RecetteTransport2[[#All],[Nb de reprises Optiques]]/#REF!</f>
        <v>#REF!</v>
      </c>
      <c r="AF102" s="6"/>
    </row>
    <row r="103" spans="1:32" hidden="1" x14ac:dyDescent="0.3">
      <c r="A103" t="s">
        <v>12</v>
      </c>
      <c r="B103" t="s">
        <v>20</v>
      </c>
      <c r="C103" t="s">
        <v>341</v>
      </c>
      <c r="D103" t="s">
        <v>342</v>
      </c>
      <c r="G103" s="11"/>
      <c r="H103" s="11" t="s">
        <v>29</v>
      </c>
      <c r="I103" s="11" t="s">
        <v>29</v>
      </c>
      <c r="J103" s="11">
        <f>RecetteTransport2[[#All],[Fibres TC NOK]]</f>
        <v>0</v>
      </c>
      <c r="K103" s="50">
        <f>RecetteTransport2[[#All],[Valeur Critique]]</f>
        <v>0</v>
      </c>
      <c r="L103" s="50">
        <f>AD:AD</f>
        <v>71</v>
      </c>
      <c r="N103" t="s">
        <v>65</v>
      </c>
      <c r="P103">
        <f xml:space="preserve"> _xlfn.ISOWEEKNUM(RecetteTransport2[[#This Row],[Date validation Optique]])</f>
        <v>52</v>
      </c>
      <c r="Q103">
        <f>YEAR(RecetteTransport2[[#This Row],[Date validation Optique]])</f>
        <v>1900</v>
      </c>
      <c r="T103" s="50">
        <f>_xlfn.ISOWEEKNUM(RecetteTransport2[[#This Row],[Date Achevement  Mécanique]])</f>
        <v>52</v>
      </c>
      <c r="U103" s="50">
        <f>YEAR(RecetteTransport2[[#This Row],[Date Achevement  Mécanique]])</f>
        <v>1900</v>
      </c>
      <c r="V103" s="2">
        <v>44257</v>
      </c>
      <c r="W103" s="50">
        <f>_xlfn.ISOWEEKNUM(RecetteTransport2[[#This Row],[Date de mesure]])</f>
        <v>9</v>
      </c>
      <c r="X103" s="11">
        <f>YEAR(RecetteTransport2[[#This Row],[Date de mesure]])</f>
        <v>2021</v>
      </c>
      <c r="Y103" s="2">
        <v>44263</v>
      </c>
      <c r="Z103" s="50">
        <f>_xlfn.ISOWEEKNUM(RecetteTransport2[[#This Row],[Date envoie dossier mesure]])</f>
        <v>10</v>
      </c>
      <c r="AA103" s="50">
        <f>YEAR(RecetteTransport2[[#This Row],[Date envoie dossier mesure]])</f>
        <v>2021</v>
      </c>
      <c r="AB103" s="11">
        <v>0</v>
      </c>
      <c r="AC103" s="11">
        <v>0</v>
      </c>
      <c r="AD103" s="50">
        <v>71</v>
      </c>
      <c r="AE103" s="6" t="e">
        <f>RecetteTransport2[[#All],[Nb de reprises Optiques]]/#REF!</f>
        <v>#REF!</v>
      </c>
      <c r="AF103" s="6"/>
    </row>
    <row r="104" spans="1:32" hidden="1" x14ac:dyDescent="0.3">
      <c r="A104" t="s">
        <v>12</v>
      </c>
      <c r="B104" t="s">
        <v>19</v>
      </c>
      <c r="C104" t="s">
        <v>86</v>
      </c>
      <c r="D104" t="s">
        <v>213</v>
      </c>
      <c r="G104" s="11"/>
      <c r="H104" s="11" t="s">
        <v>29</v>
      </c>
      <c r="I104" s="11" t="s">
        <v>29</v>
      </c>
      <c r="J104" s="11">
        <f>RecetteTransport2[[#All],[Fibres TC NOK]]</f>
        <v>0</v>
      </c>
      <c r="K104" s="50">
        <f>RecetteTransport2[[#All],[Valeur Critique]]</f>
        <v>0</v>
      </c>
      <c r="L104" s="50">
        <f>AD:AD</f>
        <v>11</v>
      </c>
      <c r="N104" t="s">
        <v>65</v>
      </c>
      <c r="P104">
        <f xml:space="preserve"> _xlfn.ISOWEEKNUM(RecetteTransport2[[#This Row],[Date validation Optique]])</f>
        <v>52</v>
      </c>
      <c r="Q104">
        <f>YEAR(RecetteTransport2[[#This Row],[Date validation Optique]])</f>
        <v>1900</v>
      </c>
      <c r="T104" s="50">
        <f>_xlfn.ISOWEEKNUM(RecetteTransport2[[#This Row],[Date Achevement  Mécanique]])</f>
        <v>52</v>
      </c>
      <c r="U104" s="50">
        <f>YEAR(RecetteTransport2[[#This Row],[Date Achevement  Mécanique]])</f>
        <v>1900</v>
      </c>
      <c r="V104" s="2">
        <v>44265</v>
      </c>
      <c r="W104" s="50">
        <f>_xlfn.ISOWEEKNUM(RecetteTransport2[[#This Row],[Date de mesure]])</f>
        <v>10</v>
      </c>
      <c r="X104" s="11">
        <f>YEAR(RecetteTransport2[[#This Row],[Date de mesure]])</f>
        <v>2021</v>
      </c>
      <c r="Y104" s="2">
        <v>44270</v>
      </c>
      <c r="Z104" s="50">
        <f>_xlfn.ISOWEEKNUM(RecetteTransport2[[#This Row],[Date envoie dossier mesure]])</f>
        <v>11</v>
      </c>
      <c r="AA104" s="50">
        <f>YEAR(RecetteTransport2[[#This Row],[Date envoie dossier mesure]])</f>
        <v>2021</v>
      </c>
      <c r="AB104" s="11">
        <v>0</v>
      </c>
      <c r="AC104" s="11">
        <v>0</v>
      </c>
      <c r="AD104" s="50">
        <v>11</v>
      </c>
      <c r="AE104" s="6" t="e">
        <f>RecetteTransport2[[#All],[Nb de reprises Optiques]]/#REF!</f>
        <v>#REF!</v>
      </c>
      <c r="AF104" s="2">
        <v>44215</v>
      </c>
    </row>
    <row r="105" spans="1:32" hidden="1" x14ac:dyDescent="0.3">
      <c r="A105" t="s">
        <v>12</v>
      </c>
      <c r="B105" t="s">
        <v>19</v>
      </c>
      <c r="C105" t="s">
        <v>86</v>
      </c>
      <c r="D105" t="s">
        <v>214</v>
      </c>
      <c r="G105" s="11"/>
      <c r="H105" s="11" t="s">
        <v>29</v>
      </c>
      <c r="I105" s="11" t="s">
        <v>29</v>
      </c>
      <c r="J105" s="11">
        <v>0</v>
      </c>
      <c r="K105" s="50">
        <f>RecetteTransport2[[#All],[Valeur Critique]]</f>
        <v>0</v>
      </c>
      <c r="L105" s="50">
        <v>0</v>
      </c>
      <c r="N105" t="s">
        <v>389</v>
      </c>
      <c r="O105" s="2">
        <v>44237</v>
      </c>
      <c r="P105">
        <f xml:space="preserve"> _xlfn.ISOWEEKNUM(RecetteTransport2[[#This Row],[Date validation Optique]])</f>
        <v>6</v>
      </c>
      <c r="Q105">
        <f>YEAR(RecetteTransport2[[#This Row],[Date validation Optique]])</f>
        <v>2021</v>
      </c>
      <c r="T105" s="50">
        <f>_xlfn.ISOWEEKNUM(RecetteTransport2[[#This Row],[Date Achevement  Mécanique]])</f>
        <v>52</v>
      </c>
      <c r="U105" s="50">
        <f>YEAR(RecetteTransport2[[#This Row],[Date Achevement  Mécanique]])</f>
        <v>1900</v>
      </c>
      <c r="V105" s="2"/>
      <c r="W105" s="50">
        <f>_xlfn.ISOWEEKNUM(RecetteTransport2[[#This Row],[Date de mesure]])</f>
        <v>52</v>
      </c>
      <c r="X105" s="11">
        <f>YEAR(RecetteTransport2[[#This Row],[Date de mesure]])</f>
        <v>1900</v>
      </c>
      <c r="Y105" s="2">
        <v>44204</v>
      </c>
      <c r="Z105" s="50">
        <f>_xlfn.ISOWEEKNUM(RecetteTransport2[[#This Row],[Date envoie dossier mesure]])</f>
        <v>1</v>
      </c>
      <c r="AA105" s="50">
        <f>YEAR(RecetteTransport2[[#This Row],[Date envoie dossier mesure]])</f>
        <v>2021</v>
      </c>
      <c r="AB105" s="11">
        <v>1</v>
      </c>
      <c r="AC105" s="11">
        <v>0</v>
      </c>
      <c r="AD105" s="50">
        <v>39</v>
      </c>
      <c r="AE105" s="6" t="e">
        <f>RecetteTransport2[[#All],[Nb de reprises Optiques]]/#REF!</f>
        <v>#REF!</v>
      </c>
      <c r="AF105" s="2">
        <v>44215</v>
      </c>
    </row>
    <row r="106" spans="1:32" x14ac:dyDescent="0.3">
      <c r="A106" t="s">
        <v>12</v>
      </c>
      <c r="D106" t="s">
        <v>474</v>
      </c>
      <c r="G106" s="11"/>
      <c r="H106" s="11"/>
      <c r="I106" s="11"/>
      <c r="J106" s="11">
        <f>RecetteTransport2[[#All],[Fibres TC NOK]]</f>
        <v>0</v>
      </c>
      <c r="K106" s="50">
        <f>RecetteTransport2[[#All],[Valeur Critique]]</f>
        <v>0</v>
      </c>
      <c r="L106" s="50">
        <f>AD:AD</f>
        <v>0</v>
      </c>
      <c r="O106" s="2"/>
      <c r="P106" s="11">
        <f xml:space="preserve"> _xlfn.ISOWEEKNUM(RecetteTransport2[[#This Row],[Date validation Optique]])</f>
        <v>52</v>
      </c>
      <c r="Q106" s="11">
        <f>YEAR(RecetteTransport2[[#This Row],[Date validation Optique]])</f>
        <v>1900</v>
      </c>
      <c r="S106" s="47" t="e">
        <f>#REF!+10</f>
        <v>#REF!</v>
      </c>
      <c r="T106" s="50" t="e">
        <f>_xlfn.ISOWEEKNUM(RecetteTransport2[[#This Row],[Date Achevement  Mécanique]])</f>
        <v>#REF!</v>
      </c>
      <c r="U106" s="50" t="e">
        <f>YEAR(RecetteTransport2[[#This Row],[Date Achevement  Mécanique]])</f>
        <v>#REF!</v>
      </c>
      <c r="V106" s="47"/>
      <c r="W106" s="50">
        <f>_xlfn.ISOWEEKNUM(RecetteTransport2[[#This Row],[Date de mesure]])</f>
        <v>52</v>
      </c>
      <c r="X106" s="11">
        <f>YEAR(RecetteTransport2[[#This Row],[Date de mesure]])</f>
        <v>1900</v>
      </c>
      <c r="Y106" s="47"/>
      <c r="Z106" s="50">
        <f>_xlfn.ISOWEEKNUM(RecetteTransport2[[#This Row],[Date envoie dossier mesure]])</f>
        <v>52</v>
      </c>
      <c r="AA106" s="50">
        <f>YEAR(RecetteTransport2[[#This Row],[Date envoie dossier mesure]])</f>
        <v>1900</v>
      </c>
      <c r="AB106" s="11"/>
      <c r="AC106" s="11"/>
      <c r="AE106" s="6" t="e">
        <f>RecetteTransport2[[#All],[Nb de reprises Optiques]]/#REF!</f>
        <v>#REF!</v>
      </c>
      <c r="AF106" s="6"/>
    </row>
    <row r="107" spans="1:32" hidden="1" x14ac:dyDescent="0.3">
      <c r="A107" t="s">
        <v>12</v>
      </c>
      <c r="B107" t="s">
        <v>15</v>
      </c>
      <c r="C107" t="s">
        <v>45</v>
      </c>
      <c r="D107" t="s">
        <v>24</v>
      </c>
      <c r="G107" s="11"/>
      <c r="H107" s="11" t="s">
        <v>29</v>
      </c>
      <c r="I107" s="11" t="s">
        <v>29</v>
      </c>
      <c r="J107" s="11">
        <f>RecetteTransport2[[#All],[Fibres TC NOK]]</f>
        <v>0</v>
      </c>
      <c r="K107" s="50">
        <f>RecetteTransport2[[#All],[Valeur Critique]]</f>
        <v>0</v>
      </c>
      <c r="L107" s="50">
        <f>AD:AD</f>
        <v>18</v>
      </c>
      <c r="N107" t="s">
        <v>65</v>
      </c>
      <c r="P107">
        <f xml:space="preserve"> _xlfn.ISOWEEKNUM(RecetteTransport2[[#This Row],[Date validation Optique]])</f>
        <v>52</v>
      </c>
      <c r="Q107">
        <f>YEAR(RecetteTransport2[[#This Row],[Date validation Optique]])</f>
        <v>1900</v>
      </c>
      <c r="T107" s="50">
        <f>_xlfn.ISOWEEKNUM(RecetteTransport2[[#This Row],[Date Achevement  Mécanique]])</f>
        <v>52</v>
      </c>
      <c r="U107" s="50">
        <f>YEAR(RecetteTransport2[[#This Row],[Date Achevement  Mécanique]])</f>
        <v>1900</v>
      </c>
      <c r="V107" s="2"/>
      <c r="W107" s="50">
        <f>_xlfn.ISOWEEKNUM(RecetteTransport2[[#This Row],[Date de mesure]])</f>
        <v>52</v>
      </c>
      <c r="X107" s="11">
        <f>YEAR(RecetteTransport2[[#This Row],[Date de mesure]])</f>
        <v>1900</v>
      </c>
      <c r="Y107" s="2">
        <v>44194</v>
      </c>
      <c r="Z107" s="50">
        <f>_xlfn.ISOWEEKNUM(RecetteTransport2[[#This Row],[Date envoie dossier mesure]])</f>
        <v>53</v>
      </c>
      <c r="AA107" s="50">
        <f>YEAR(RecetteTransport2[[#This Row],[Date envoie dossier mesure]])</f>
        <v>2020</v>
      </c>
      <c r="AB107" s="11">
        <v>0</v>
      </c>
      <c r="AC107" s="11">
        <v>0</v>
      </c>
      <c r="AD107" s="50">
        <v>18</v>
      </c>
      <c r="AE107" s="6" t="e">
        <f>RecetteTransport2[[#All],[Nb de reprises Optiques]]/#REF!</f>
        <v>#REF!</v>
      </c>
      <c r="AF107" s="6"/>
    </row>
    <row r="108" spans="1:32" hidden="1" x14ac:dyDescent="0.3">
      <c r="A108" t="s">
        <v>12</v>
      </c>
      <c r="B108" t="s">
        <v>15</v>
      </c>
      <c r="C108" t="s">
        <v>45</v>
      </c>
      <c r="D108" t="s">
        <v>145</v>
      </c>
      <c r="G108" s="11"/>
      <c r="H108" s="11" t="s">
        <v>29</v>
      </c>
      <c r="I108" s="11" t="s">
        <v>29</v>
      </c>
      <c r="J108" s="11">
        <f>RecetteTransport2[[#All],[Fibres TC NOK]]</f>
        <v>0</v>
      </c>
      <c r="K108" s="50">
        <f>RecetteTransport2[[#All],[Valeur Critique]]</f>
        <v>5</v>
      </c>
      <c r="L108" s="50">
        <f>AD:AD</f>
        <v>37</v>
      </c>
      <c r="N108" t="s">
        <v>65</v>
      </c>
      <c r="P108">
        <f xml:space="preserve"> _xlfn.ISOWEEKNUM(RecetteTransport2[[#This Row],[Date validation Optique]])</f>
        <v>52</v>
      </c>
      <c r="Q108">
        <f>YEAR(RecetteTransport2[[#This Row],[Date validation Optique]])</f>
        <v>1900</v>
      </c>
      <c r="T108" s="50">
        <f>_xlfn.ISOWEEKNUM(RecetteTransport2[[#This Row],[Date Achevement  Mécanique]])</f>
        <v>52</v>
      </c>
      <c r="U108" s="50">
        <f>YEAR(RecetteTransport2[[#This Row],[Date Achevement  Mécanique]])</f>
        <v>1900</v>
      </c>
      <c r="V108" s="2"/>
      <c r="W108" s="50">
        <f>_xlfn.ISOWEEKNUM(RecetteTransport2[[#This Row],[Date de mesure]])</f>
        <v>52</v>
      </c>
      <c r="X108" s="11">
        <f>YEAR(RecetteTransport2[[#This Row],[Date de mesure]])</f>
        <v>1900</v>
      </c>
      <c r="Y108" s="2">
        <v>44036</v>
      </c>
      <c r="Z108" s="50">
        <f>_xlfn.ISOWEEKNUM(RecetteTransport2[[#This Row],[Date envoie dossier mesure]])</f>
        <v>30</v>
      </c>
      <c r="AA108" s="50">
        <f>YEAR(RecetteTransport2[[#This Row],[Date envoie dossier mesure]])</f>
        <v>2020</v>
      </c>
      <c r="AB108" s="11">
        <v>0</v>
      </c>
      <c r="AC108" s="11">
        <v>5</v>
      </c>
      <c r="AD108" s="50">
        <v>37</v>
      </c>
      <c r="AE108" s="6" t="e">
        <f>RecetteTransport2[[#All],[Nb de reprises Optiques]]/#REF!</f>
        <v>#REF!</v>
      </c>
      <c r="AF108" s="6"/>
    </row>
    <row r="109" spans="1:32" hidden="1" x14ac:dyDescent="0.3">
      <c r="A109" t="s">
        <v>12</v>
      </c>
      <c r="B109" t="s">
        <v>15</v>
      </c>
      <c r="C109" t="s">
        <v>45</v>
      </c>
      <c r="D109" t="s">
        <v>48</v>
      </c>
      <c r="G109" s="11"/>
      <c r="H109" s="11" t="s">
        <v>29</v>
      </c>
      <c r="I109" s="11" t="s">
        <v>29</v>
      </c>
      <c r="J109" s="11">
        <f>RecetteTransport2[[#All],[Fibres TC NOK]]</f>
        <v>1</v>
      </c>
      <c r="K109" s="50">
        <f>RecetteTransport2[[#All],[Valeur Critique]]</f>
        <v>0</v>
      </c>
      <c r="L109" s="50">
        <f>AD:AD</f>
        <v>26</v>
      </c>
      <c r="N109" t="s">
        <v>65</v>
      </c>
      <c r="P109">
        <f xml:space="preserve"> _xlfn.ISOWEEKNUM(RecetteTransport2[[#This Row],[Date validation Optique]])</f>
        <v>52</v>
      </c>
      <c r="Q109">
        <f>YEAR(RecetteTransport2[[#This Row],[Date validation Optique]])</f>
        <v>1900</v>
      </c>
      <c r="T109" s="50">
        <f>_xlfn.ISOWEEKNUM(RecetteTransport2[[#This Row],[Date Achevement  Mécanique]])</f>
        <v>52</v>
      </c>
      <c r="U109" s="50">
        <f>YEAR(RecetteTransport2[[#This Row],[Date Achevement  Mécanique]])</f>
        <v>1900</v>
      </c>
      <c r="V109" s="2"/>
      <c r="W109" s="50">
        <f>_xlfn.ISOWEEKNUM(RecetteTransport2[[#This Row],[Date de mesure]])</f>
        <v>52</v>
      </c>
      <c r="X109" s="11">
        <f>YEAR(RecetteTransport2[[#This Row],[Date de mesure]])</f>
        <v>1900</v>
      </c>
      <c r="Y109" s="2">
        <v>44194</v>
      </c>
      <c r="Z109" s="50">
        <f>_xlfn.ISOWEEKNUM(RecetteTransport2[[#This Row],[Date envoie dossier mesure]])</f>
        <v>53</v>
      </c>
      <c r="AA109" s="50">
        <f>YEAR(RecetteTransport2[[#This Row],[Date envoie dossier mesure]])</f>
        <v>2020</v>
      </c>
      <c r="AB109" s="11">
        <v>1</v>
      </c>
      <c r="AC109" s="11">
        <v>0</v>
      </c>
      <c r="AD109" s="50">
        <v>26</v>
      </c>
      <c r="AE109" s="6" t="e">
        <f>RecetteTransport2[[#All],[Nb de reprises Optiques]]/#REF!</f>
        <v>#REF!</v>
      </c>
      <c r="AF109" s="6"/>
    </row>
    <row r="110" spans="1:32" hidden="1" x14ac:dyDescent="0.3">
      <c r="A110" t="s">
        <v>12</v>
      </c>
      <c r="B110" t="s">
        <v>15</v>
      </c>
      <c r="C110" t="s">
        <v>45</v>
      </c>
      <c r="D110" t="s">
        <v>75</v>
      </c>
      <c r="G110" s="11"/>
      <c r="H110" s="11" t="s">
        <v>29</v>
      </c>
      <c r="I110" s="11" t="s">
        <v>29</v>
      </c>
      <c r="J110" s="11">
        <f>RecetteTransport2[[#All],[Fibres TC NOK]]</f>
        <v>0</v>
      </c>
      <c r="K110" s="50">
        <f>RecetteTransport2[[#All],[Valeur Critique]]</f>
        <v>0</v>
      </c>
      <c r="L110" s="50">
        <v>0</v>
      </c>
      <c r="N110" t="s">
        <v>389</v>
      </c>
      <c r="O110" s="2">
        <v>44252</v>
      </c>
      <c r="P110">
        <f xml:space="preserve"> _xlfn.ISOWEEKNUM(RecetteTransport2[[#This Row],[Date validation Optique]])</f>
        <v>8</v>
      </c>
      <c r="Q110">
        <f>YEAR(RecetteTransport2[[#This Row],[Date validation Optique]])</f>
        <v>2021</v>
      </c>
      <c r="T110" s="50">
        <f>_xlfn.ISOWEEKNUM(RecetteTransport2[[#This Row],[Date Achevement  Mécanique]])</f>
        <v>52</v>
      </c>
      <c r="U110" s="50">
        <f>YEAR(RecetteTransport2[[#This Row],[Date Achevement  Mécanique]])</f>
        <v>1900</v>
      </c>
      <c r="V110" s="2"/>
      <c r="W110" s="50">
        <f>_xlfn.ISOWEEKNUM(RecetteTransport2[[#This Row],[Date de mesure]])</f>
        <v>52</v>
      </c>
      <c r="X110" s="11">
        <f>YEAR(RecetteTransport2[[#This Row],[Date de mesure]])</f>
        <v>1900</v>
      </c>
      <c r="Y110" s="2">
        <v>44036</v>
      </c>
      <c r="Z110" s="50">
        <f>_xlfn.ISOWEEKNUM(RecetteTransport2[[#This Row],[Date envoie dossier mesure]])</f>
        <v>30</v>
      </c>
      <c r="AA110" s="50">
        <f>YEAR(RecetteTransport2[[#This Row],[Date envoie dossier mesure]])</f>
        <v>2020</v>
      </c>
      <c r="AB110" s="11">
        <v>0</v>
      </c>
      <c r="AC110" s="11">
        <v>0</v>
      </c>
      <c r="AD110" s="50">
        <v>31</v>
      </c>
      <c r="AE110" s="6" t="e">
        <f>RecetteTransport2[[#All],[Nb de reprises Optiques]]/#REF!</f>
        <v>#REF!</v>
      </c>
      <c r="AF110" s="6"/>
    </row>
    <row r="111" spans="1:32" hidden="1" x14ac:dyDescent="0.3">
      <c r="A111" t="s">
        <v>12</v>
      </c>
      <c r="B111" t="s">
        <v>15</v>
      </c>
      <c r="C111" t="s">
        <v>45</v>
      </c>
      <c r="D111" t="s">
        <v>17</v>
      </c>
      <c r="G111" s="11"/>
      <c r="H111" s="11" t="s">
        <v>29</v>
      </c>
      <c r="I111" s="11" t="s">
        <v>29</v>
      </c>
      <c r="J111" s="11">
        <f>RecetteTransport2[[#All],[Fibres TC NOK]]</f>
        <v>0</v>
      </c>
      <c r="K111" s="50">
        <f>RecetteTransport2[[#All],[Valeur Critique]]</f>
        <v>0</v>
      </c>
      <c r="L111" s="50">
        <v>0</v>
      </c>
      <c r="N111" t="s">
        <v>389</v>
      </c>
      <c r="O111" s="2">
        <v>44252</v>
      </c>
      <c r="P111">
        <f xml:space="preserve"> _xlfn.ISOWEEKNUM(RecetteTransport2[[#This Row],[Date validation Optique]])</f>
        <v>8</v>
      </c>
      <c r="Q111">
        <f>YEAR(RecetteTransport2[[#This Row],[Date validation Optique]])</f>
        <v>2021</v>
      </c>
      <c r="T111" s="50">
        <f>_xlfn.ISOWEEKNUM(RecetteTransport2[[#This Row],[Date Achevement  Mécanique]])</f>
        <v>52</v>
      </c>
      <c r="U111" s="50">
        <f>YEAR(RecetteTransport2[[#This Row],[Date Achevement  Mécanique]])</f>
        <v>1900</v>
      </c>
      <c r="V111" s="2"/>
      <c r="W111" s="50">
        <f>_xlfn.ISOWEEKNUM(RecetteTransport2[[#This Row],[Date de mesure]])</f>
        <v>52</v>
      </c>
      <c r="X111" s="11">
        <f>YEAR(RecetteTransport2[[#This Row],[Date de mesure]])</f>
        <v>1900</v>
      </c>
      <c r="Y111" s="2">
        <v>44036</v>
      </c>
      <c r="Z111" s="50">
        <f>_xlfn.ISOWEEKNUM(RecetteTransport2[[#This Row],[Date envoie dossier mesure]])</f>
        <v>30</v>
      </c>
      <c r="AA111" s="50">
        <f>YEAR(RecetteTransport2[[#This Row],[Date envoie dossier mesure]])</f>
        <v>2020</v>
      </c>
      <c r="AB111" s="11">
        <v>0</v>
      </c>
      <c r="AC111" s="11">
        <v>0</v>
      </c>
      <c r="AD111" s="50">
        <v>4</v>
      </c>
      <c r="AE111" s="6" t="e">
        <f>RecetteTransport2[[#All],[Nb de reprises Optiques]]/#REF!</f>
        <v>#REF!</v>
      </c>
      <c r="AF111" s="6"/>
    </row>
    <row r="112" spans="1:32" hidden="1" x14ac:dyDescent="0.3">
      <c r="A112" t="s">
        <v>12</v>
      </c>
      <c r="B112" t="s">
        <v>15</v>
      </c>
      <c r="C112" t="s">
        <v>45</v>
      </c>
      <c r="D112" t="s">
        <v>83</v>
      </c>
      <c r="G112" s="11"/>
      <c r="H112" s="11" t="s">
        <v>29</v>
      </c>
      <c r="I112" s="11" t="s">
        <v>29</v>
      </c>
      <c r="J112" s="11">
        <f>RecetteTransport2[[#All],[Fibres TC NOK]]</f>
        <v>2</v>
      </c>
      <c r="K112" s="50">
        <f>RecetteTransport2[[#All],[Valeur Critique]]</f>
        <v>8</v>
      </c>
      <c r="L112" s="50">
        <f>AD:AD</f>
        <v>88</v>
      </c>
      <c r="N112" t="s">
        <v>65</v>
      </c>
      <c r="P112">
        <f xml:space="preserve"> _xlfn.ISOWEEKNUM(RecetteTransport2[[#This Row],[Date validation Optique]])</f>
        <v>52</v>
      </c>
      <c r="Q112">
        <f>YEAR(RecetteTransport2[[#This Row],[Date validation Optique]])</f>
        <v>1900</v>
      </c>
      <c r="T112" s="50">
        <f>_xlfn.ISOWEEKNUM(RecetteTransport2[[#This Row],[Date Achevement  Mécanique]])</f>
        <v>52</v>
      </c>
      <c r="U112" s="50">
        <f>YEAR(RecetteTransport2[[#This Row],[Date Achevement  Mécanique]])</f>
        <v>1900</v>
      </c>
      <c r="V112" s="2"/>
      <c r="W112" s="50">
        <f>_xlfn.ISOWEEKNUM(RecetteTransport2[[#This Row],[Date de mesure]])</f>
        <v>52</v>
      </c>
      <c r="X112" s="11">
        <f>YEAR(RecetteTransport2[[#This Row],[Date de mesure]])</f>
        <v>1900</v>
      </c>
      <c r="Y112" s="2">
        <v>44036</v>
      </c>
      <c r="Z112" s="50">
        <f>_xlfn.ISOWEEKNUM(RecetteTransport2[[#This Row],[Date envoie dossier mesure]])</f>
        <v>30</v>
      </c>
      <c r="AA112" s="50">
        <f>YEAR(RecetteTransport2[[#This Row],[Date envoie dossier mesure]])</f>
        <v>2020</v>
      </c>
      <c r="AB112" s="11">
        <v>2</v>
      </c>
      <c r="AC112" s="11">
        <v>8</v>
      </c>
      <c r="AD112" s="50">
        <v>88</v>
      </c>
      <c r="AE112" s="6" t="e">
        <f>RecetteTransport2[[#All],[Nb de reprises Optiques]]/#REF!</f>
        <v>#REF!</v>
      </c>
      <c r="AF112" s="6"/>
    </row>
    <row r="113" spans="1:32" hidden="1" x14ac:dyDescent="0.3">
      <c r="A113" t="s">
        <v>12</v>
      </c>
      <c r="B113" t="s">
        <v>15</v>
      </c>
      <c r="C113" t="s">
        <v>45</v>
      </c>
      <c r="D113" t="s">
        <v>16</v>
      </c>
      <c r="G113" s="11"/>
      <c r="H113" s="11" t="s">
        <v>29</v>
      </c>
      <c r="I113" s="11" t="s">
        <v>29</v>
      </c>
      <c r="J113" s="11">
        <f>RecetteTransport2[[#All],[Fibres TC NOK]]</f>
        <v>0</v>
      </c>
      <c r="K113" s="50">
        <f>RecetteTransport2[[#All],[Valeur Critique]]</f>
        <v>1</v>
      </c>
      <c r="L113" s="50">
        <f>AD:AD</f>
        <v>23</v>
      </c>
      <c r="N113" t="s">
        <v>65</v>
      </c>
      <c r="P113">
        <f xml:space="preserve"> _xlfn.ISOWEEKNUM(RecetteTransport2[[#This Row],[Date validation Optique]])</f>
        <v>52</v>
      </c>
      <c r="Q113">
        <f>YEAR(RecetteTransport2[[#This Row],[Date validation Optique]])</f>
        <v>1900</v>
      </c>
      <c r="T113" s="50">
        <f>_xlfn.ISOWEEKNUM(RecetteTransport2[[#This Row],[Date Achevement  Mécanique]])</f>
        <v>52</v>
      </c>
      <c r="U113" s="50">
        <f>YEAR(RecetteTransport2[[#This Row],[Date Achevement  Mécanique]])</f>
        <v>1900</v>
      </c>
      <c r="V113" s="2"/>
      <c r="W113" s="50">
        <f>_xlfn.ISOWEEKNUM(RecetteTransport2[[#This Row],[Date de mesure]])</f>
        <v>52</v>
      </c>
      <c r="X113" s="11">
        <f>YEAR(RecetteTransport2[[#This Row],[Date de mesure]])</f>
        <v>1900</v>
      </c>
      <c r="Y113" s="2">
        <v>44161</v>
      </c>
      <c r="Z113" s="50">
        <f>_xlfn.ISOWEEKNUM(RecetteTransport2[[#This Row],[Date envoie dossier mesure]])</f>
        <v>48</v>
      </c>
      <c r="AA113" s="50">
        <f>YEAR(RecetteTransport2[[#This Row],[Date envoie dossier mesure]])</f>
        <v>2020</v>
      </c>
      <c r="AB113" s="11"/>
      <c r="AC113" s="11">
        <v>1</v>
      </c>
      <c r="AD113" s="50">
        <v>23</v>
      </c>
      <c r="AE113" s="6" t="e">
        <f>RecetteTransport2[[#All],[Nb de reprises Optiques]]/#REF!</f>
        <v>#REF!</v>
      </c>
      <c r="AF113" s="6"/>
    </row>
    <row r="114" spans="1:32" hidden="1" x14ac:dyDescent="0.3">
      <c r="A114" t="s">
        <v>12</v>
      </c>
      <c r="B114" t="s">
        <v>15</v>
      </c>
      <c r="C114" t="s">
        <v>45</v>
      </c>
      <c r="D114" t="s">
        <v>149</v>
      </c>
      <c r="G114" s="11"/>
      <c r="H114" s="11" t="s">
        <v>29</v>
      </c>
      <c r="I114" s="11" t="s">
        <v>29</v>
      </c>
      <c r="J114" s="11">
        <f>RecetteTransport2[[#All],[Fibres TC NOK]]</f>
        <v>1</v>
      </c>
      <c r="K114" s="50">
        <f>RecetteTransport2[[#All],[Valeur Critique]]</f>
        <v>0</v>
      </c>
      <c r="L114" s="50">
        <f>AD:AD</f>
        <v>27</v>
      </c>
      <c r="N114" t="s">
        <v>65</v>
      </c>
      <c r="P114">
        <f xml:space="preserve"> _xlfn.ISOWEEKNUM(RecetteTransport2[[#This Row],[Date validation Optique]])</f>
        <v>52</v>
      </c>
      <c r="Q114">
        <f>YEAR(RecetteTransport2[[#This Row],[Date validation Optique]])</f>
        <v>1900</v>
      </c>
      <c r="T114" s="50">
        <f>_xlfn.ISOWEEKNUM(RecetteTransport2[[#This Row],[Date Achevement  Mécanique]])</f>
        <v>52</v>
      </c>
      <c r="U114" s="50">
        <f>YEAR(RecetteTransport2[[#This Row],[Date Achevement  Mécanique]])</f>
        <v>1900</v>
      </c>
      <c r="V114" s="2"/>
      <c r="W114" s="50">
        <f>_xlfn.ISOWEEKNUM(RecetteTransport2[[#This Row],[Date de mesure]])</f>
        <v>52</v>
      </c>
      <c r="X114" s="11">
        <f>YEAR(RecetteTransport2[[#This Row],[Date de mesure]])</f>
        <v>1900</v>
      </c>
      <c r="Y114" s="2">
        <v>44161</v>
      </c>
      <c r="Z114" s="50">
        <f>_xlfn.ISOWEEKNUM(RecetteTransport2[[#This Row],[Date envoie dossier mesure]])</f>
        <v>48</v>
      </c>
      <c r="AA114" s="50">
        <f>YEAR(RecetteTransport2[[#This Row],[Date envoie dossier mesure]])</f>
        <v>2020</v>
      </c>
      <c r="AB114" s="11">
        <v>1</v>
      </c>
      <c r="AC114" s="11"/>
      <c r="AD114" s="50">
        <v>27</v>
      </c>
      <c r="AE114" s="6" t="e">
        <f>RecetteTransport2[[#All],[Nb de reprises Optiques]]/#REF!</f>
        <v>#REF!</v>
      </c>
      <c r="AF114" s="6"/>
    </row>
    <row r="115" spans="1:32" hidden="1" x14ac:dyDescent="0.3">
      <c r="A115" t="s">
        <v>12</v>
      </c>
      <c r="B115" t="s">
        <v>15</v>
      </c>
      <c r="C115" t="s">
        <v>45</v>
      </c>
      <c r="D115" t="s">
        <v>130</v>
      </c>
      <c r="G115" s="11"/>
      <c r="H115" s="11" t="s">
        <v>29</v>
      </c>
      <c r="I115" s="11" t="s">
        <v>29</v>
      </c>
      <c r="J115" s="11">
        <v>0</v>
      </c>
      <c r="K115" s="50">
        <f>RecetteTransport2[[#All],[Valeur Critique]]</f>
        <v>0</v>
      </c>
      <c r="L115" s="50">
        <v>0</v>
      </c>
      <c r="N115" t="s">
        <v>389</v>
      </c>
      <c r="O115" s="2">
        <v>44252</v>
      </c>
      <c r="P115">
        <f xml:space="preserve"> _xlfn.ISOWEEKNUM(RecetteTransport2[[#This Row],[Date validation Optique]])</f>
        <v>8</v>
      </c>
      <c r="Q115">
        <f>YEAR(RecetteTransport2[[#This Row],[Date validation Optique]])</f>
        <v>2021</v>
      </c>
      <c r="T115" s="50">
        <f>_xlfn.ISOWEEKNUM(RecetteTransport2[[#This Row],[Date Achevement  Mécanique]])</f>
        <v>52</v>
      </c>
      <c r="U115" s="50">
        <f>YEAR(RecetteTransport2[[#This Row],[Date Achevement  Mécanique]])</f>
        <v>1900</v>
      </c>
      <c r="V115" s="2"/>
      <c r="W115" s="50">
        <f>_xlfn.ISOWEEKNUM(RecetteTransport2[[#This Row],[Date de mesure]])</f>
        <v>52</v>
      </c>
      <c r="X115" s="11">
        <f>YEAR(RecetteTransport2[[#This Row],[Date de mesure]])</f>
        <v>1900</v>
      </c>
      <c r="Y115" s="2">
        <v>44036</v>
      </c>
      <c r="Z115" s="50">
        <f>_xlfn.ISOWEEKNUM(RecetteTransport2[[#This Row],[Date envoie dossier mesure]])</f>
        <v>30</v>
      </c>
      <c r="AA115" s="50">
        <f>YEAR(RecetteTransport2[[#This Row],[Date envoie dossier mesure]])</f>
        <v>2020</v>
      </c>
      <c r="AB115" s="11">
        <v>1</v>
      </c>
      <c r="AC115" s="11">
        <v>0</v>
      </c>
      <c r="AD115" s="50">
        <v>89</v>
      </c>
      <c r="AE115" s="6" t="e">
        <f>RecetteTransport2[[#All],[Nb de reprises Optiques]]/#REF!</f>
        <v>#REF!</v>
      </c>
      <c r="AF115" s="6"/>
    </row>
    <row r="116" spans="1:32" hidden="1" x14ac:dyDescent="0.3">
      <c r="A116" t="s">
        <v>12</v>
      </c>
      <c r="B116" t="s">
        <v>15</v>
      </c>
      <c r="C116" t="s">
        <v>45</v>
      </c>
      <c r="D116" t="s">
        <v>146</v>
      </c>
      <c r="G116" s="11"/>
      <c r="H116" s="11" t="s">
        <v>29</v>
      </c>
      <c r="I116" s="11" t="s">
        <v>29</v>
      </c>
      <c r="J116" s="11">
        <f>RecetteTransport2[[#All],[Fibres TC NOK]]</f>
        <v>0</v>
      </c>
      <c r="K116" s="50">
        <f>RecetteTransport2[[#All],[Valeur Critique]]</f>
        <v>0</v>
      </c>
      <c r="L116" s="50">
        <f>AD:AD</f>
        <v>21</v>
      </c>
      <c r="N116" t="s">
        <v>65</v>
      </c>
      <c r="P116">
        <f xml:space="preserve"> _xlfn.ISOWEEKNUM(RecetteTransport2[[#This Row],[Date validation Optique]])</f>
        <v>52</v>
      </c>
      <c r="Q116">
        <f>YEAR(RecetteTransport2[[#This Row],[Date validation Optique]])</f>
        <v>1900</v>
      </c>
      <c r="T116" s="50">
        <f>_xlfn.ISOWEEKNUM(RecetteTransport2[[#This Row],[Date Achevement  Mécanique]])</f>
        <v>52</v>
      </c>
      <c r="U116" s="50">
        <f>YEAR(RecetteTransport2[[#This Row],[Date Achevement  Mécanique]])</f>
        <v>1900</v>
      </c>
      <c r="V116" s="2"/>
      <c r="W116" s="50">
        <f>_xlfn.ISOWEEKNUM(RecetteTransport2[[#This Row],[Date de mesure]])</f>
        <v>52</v>
      </c>
      <c r="X116" s="11">
        <f>YEAR(RecetteTransport2[[#This Row],[Date de mesure]])</f>
        <v>1900</v>
      </c>
      <c r="Y116" s="2">
        <v>44161</v>
      </c>
      <c r="Z116" s="50">
        <f>_xlfn.ISOWEEKNUM(RecetteTransport2[[#This Row],[Date envoie dossier mesure]])</f>
        <v>48</v>
      </c>
      <c r="AA116" s="50">
        <f>YEAR(RecetteTransport2[[#This Row],[Date envoie dossier mesure]])</f>
        <v>2020</v>
      </c>
      <c r="AB116" s="11">
        <v>0</v>
      </c>
      <c r="AC116" s="11">
        <v>0</v>
      </c>
      <c r="AD116" s="50">
        <v>21</v>
      </c>
      <c r="AE116" s="6" t="e">
        <f>RecetteTransport2[[#All],[Nb de reprises Optiques]]/#REF!</f>
        <v>#REF!</v>
      </c>
      <c r="AF116" s="6"/>
    </row>
    <row r="117" spans="1:32" hidden="1" x14ac:dyDescent="0.3">
      <c r="A117" t="s">
        <v>12</v>
      </c>
      <c r="B117" t="s">
        <v>15</v>
      </c>
      <c r="C117" t="s">
        <v>45</v>
      </c>
      <c r="D117" t="s">
        <v>116</v>
      </c>
      <c r="G117" s="11"/>
      <c r="H117" s="11" t="s">
        <v>29</v>
      </c>
      <c r="I117" s="11" t="s">
        <v>29</v>
      </c>
      <c r="J117" s="11">
        <f>RecetteTransport2[[#All],[Fibres TC NOK]]</f>
        <v>0</v>
      </c>
      <c r="K117" s="50">
        <f>RecetteTransport2[[#All],[Valeur Critique]]</f>
        <v>7</v>
      </c>
      <c r="L117" s="50">
        <f>AD:AD</f>
        <v>60</v>
      </c>
      <c r="N117" t="s">
        <v>65</v>
      </c>
      <c r="P117">
        <f xml:space="preserve"> _xlfn.ISOWEEKNUM(RecetteTransport2[[#This Row],[Date validation Optique]])</f>
        <v>52</v>
      </c>
      <c r="Q117">
        <f>YEAR(RecetteTransport2[[#This Row],[Date validation Optique]])</f>
        <v>1900</v>
      </c>
      <c r="T117" s="50">
        <f>_xlfn.ISOWEEKNUM(RecetteTransport2[[#This Row],[Date Achevement  Mécanique]])</f>
        <v>52</v>
      </c>
      <c r="U117" s="50">
        <f>YEAR(RecetteTransport2[[#This Row],[Date Achevement  Mécanique]])</f>
        <v>1900</v>
      </c>
      <c r="V117" s="2"/>
      <c r="W117" s="50">
        <f>_xlfn.ISOWEEKNUM(RecetteTransport2[[#This Row],[Date de mesure]])</f>
        <v>52</v>
      </c>
      <c r="X117" s="11">
        <f>YEAR(RecetteTransport2[[#This Row],[Date de mesure]])</f>
        <v>1900</v>
      </c>
      <c r="Y117" s="2">
        <v>44036</v>
      </c>
      <c r="Z117" s="50">
        <f>_xlfn.ISOWEEKNUM(RecetteTransport2[[#This Row],[Date envoie dossier mesure]])</f>
        <v>30</v>
      </c>
      <c r="AA117" s="50">
        <f>YEAR(RecetteTransport2[[#This Row],[Date envoie dossier mesure]])</f>
        <v>2020</v>
      </c>
      <c r="AB117" s="11">
        <v>0</v>
      </c>
      <c r="AC117" s="11">
        <v>7</v>
      </c>
      <c r="AD117" s="50">
        <v>60</v>
      </c>
      <c r="AE117" s="6" t="e">
        <f>RecetteTransport2[[#All],[Nb de reprises Optiques]]/#REF!</f>
        <v>#REF!</v>
      </c>
      <c r="AF117" s="6"/>
    </row>
    <row r="118" spans="1:32" hidden="1" x14ac:dyDescent="0.3">
      <c r="A118" t="s">
        <v>12</v>
      </c>
      <c r="B118" t="s">
        <v>15</v>
      </c>
      <c r="C118" t="s">
        <v>45</v>
      </c>
      <c r="D118" t="s">
        <v>111</v>
      </c>
      <c r="G118" s="11"/>
      <c r="H118" s="11" t="s">
        <v>29</v>
      </c>
      <c r="I118" s="11" t="s">
        <v>29</v>
      </c>
      <c r="J118" s="11">
        <f>RecetteTransport2[[#All],[Fibres TC NOK]]</f>
        <v>0</v>
      </c>
      <c r="K118" s="50">
        <f>RecetteTransport2[[#All],[Valeur Critique]]</f>
        <v>3</v>
      </c>
      <c r="L118" s="50">
        <f>AD:AD</f>
        <v>64</v>
      </c>
      <c r="N118" t="s">
        <v>65</v>
      </c>
      <c r="P118">
        <f xml:space="preserve"> _xlfn.ISOWEEKNUM(RecetteTransport2[[#This Row],[Date validation Optique]])</f>
        <v>52</v>
      </c>
      <c r="Q118">
        <f>YEAR(RecetteTransport2[[#This Row],[Date validation Optique]])</f>
        <v>1900</v>
      </c>
      <c r="T118" s="50">
        <f>_xlfn.ISOWEEKNUM(RecetteTransport2[[#This Row],[Date Achevement  Mécanique]])</f>
        <v>52</v>
      </c>
      <c r="U118" s="50">
        <f>YEAR(RecetteTransport2[[#This Row],[Date Achevement  Mécanique]])</f>
        <v>1900</v>
      </c>
      <c r="V118" s="2"/>
      <c r="W118" s="50">
        <f>_xlfn.ISOWEEKNUM(RecetteTransport2[[#This Row],[Date de mesure]])</f>
        <v>52</v>
      </c>
      <c r="X118" s="11">
        <f>YEAR(RecetteTransport2[[#This Row],[Date de mesure]])</f>
        <v>1900</v>
      </c>
      <c r="Y118" s="2">
        <v>44161</v>
      </c>
      <c r="Z118" s="50">
        <f>_xlfn.ISOWEEKNUM(RecetteTransport2[[#This Row],[Date envoie dossier mesure]])</f>
        <v>48</v>
      </c>
      <c r="AA118" s="50">
        <f>YEAR(RecetteTransport2[[#This Row],[Date envoie dossier mesure]])</f>
        <v>2020</v>
      </c>
      <c r="AB118" s="11">
        <v>0</v>
      </c>
      <c r="AC118" s="11">
        <v>3</v>
      </c>
      <c r="AD118" s="50">
        <v>64</v>
      </c>
      <c r="AE118" s="6" t="e">
        <f>RecetteTransport2[[#All],[Nb de reprises Optiques]]/#REF!</f>
        <v>#REF!</v>
      </c>
      <c r="AF118" s="6"/>
    </row>
    <row r="119" spans="1:32" hidden="1" x14ac:dyDescent="0.3">
      <c r="A119" t="s">
        <v>12</v>
      </c>
      <c r="B119" t="s">
        <v>15</v>
      </c>
      <c r="C119" t="s">
        <v>45</v>
      </c>
      <c r="D119" t="s">
        <v>147</v>
      </c>
      <c r="G119" s="11"/>
      <c r="H119" s="11" t="s">
        <v>29</v>
      </c>
      <c r="I119" s="11" t="s">
        <v>29</v>
      </c>
      <c r="J119" s="11">
        <f>RecetteTransport2[[#All],[Fibres TC NOK]]</f>
        <v>1</v>
      </c>
      <c r="K119" s="50">
        <f>RecetteTransport2[[#All],[Valeur Critique]]</f>
        <v>0</v>
      </c>
      <c r="L119" s="50">
        <f>AD:AD</f>
        <v>54</v>
      </c>
      <c r="N119" t="s">
        <v>65</v>
      </c>
      <c r="P119">
        <f xml:space="preserve"> _xlfn.ISOWEEKNUM(RecetteTransport2[[#This Row],[Date validation Optique]])</f>
        <v>52</v>
      </c>
      <c r="Q119">
        <f>YEAR(RecetteTransport2[[#This Row],[Date validation Optique]])</f>
        <v>1900</v>
      </c>
      <c r="T119" s="50">
        <f>_xlfn.ISOWEEKNUM(RecetteTransport2[[#This Row],[Date Achevement  Mécanique]])</f>
        <v>52</v>
      </c>
      <c r="U119" s="50">
        <f>YEAR(RecetteTransport2[[#This Row],[Date Achevement  Mécanique]])</f>
        <v>1900</v>
      </c>
      <c r="V119" s="2"/>
      <c r="W119" s="50">
        <f>_xlfn.ISOWEEKNUM(RecetteTransport2[[#This Row],[Date de mesure]])</f>
        <v>52</v>
      </c>
      <c r="X119" s="11">
        <f>YEAR(RecetteTransport2[[#This Row],[Date de mesure]])</f>
        <v>1900</v>
      </c>
      <c r="Y119" s="2">
        <v>44161</v>
      </c>
      <c r="Z119" s="50">
        <f>_xlfn.ISOWEEKNUM(RecetteTransport2[[#This Row],[Date envoie dossier mesure]])</f>
        <v>48</v>
      </c>
      <c r="AA119" s="50">
        <f>YEAR(RecetteTransport2[[#This Row],[Date envoie dossier mesure]])</f>
        <v>2020</v>
      </c>
      <c r="AB119" s="11">
        <v>1</v>
      </c>
      <c r="AC119" s="11">
        <v>0</v>
      </c>
      <c r="AD119" s="50">
        <v>54</v>
      </c>
      <c r="AE119" s="6" t="e">
        <f>RecetteTransport2[[#All],[Nb de reprises Optiques]]/#REF!</f>
        <v>#REF!</v>
      </c>
      <c r="AF119" s="6"/>
    </row>
    <row r="120" spans="1:32" hidden="1" x14ac:dyDescent="0.3">
      <c r="A120" t="s">
        <v>12</v>
      </c>
      <c r="B120" t="s">
        <v>15</v>
      </c>
      <c r="C120" t="s">
        <v>45</v>
      </c>
      <c r="D120" t="s">
        <v>105</v>
      </c>
      <c r="G120" s="11"/>
      <c r="H120" s="11" t="s">
        <v>29</v>
      </c>
      <c r="I120" s="11" t="s">
        <v>29</v>
      </c>
      <c r="J120" s="11">
        <f>RecetteTransport2[[#All],[Fibres TC NOK]]</f>
        <v>1</v>
      </c>
      <c r="K120" s="50">
        <f>RecetteTransport2[[#All],[Valeur Critique]]</f>
        <v>0</v>
      </c>
      <c r="L120" s="50">
        <f>AD:AD</f>
        <v>12</v>
      </c>
      <c r="N120" t="s">
        <v>65</v>
      </c>
      <c r="P120">
        <f xml:space="preserve"> _xlfn.ISOWEEKNUM(RecetteTransport2[[#This Row],[Date validation Optique]])</f>
        <v>52</v>
      </c>
      <c r="Q120">
        <f>YEAR(RecetteTransport2[[#This Row],[Date validation Optique]])</f>
        <v>1900</v>
      </c>
      <c r="T120" s="50">
        <f>_xlfn.ISOWEEKNUM(RecetteTransport2[[#This Row],[Date Achevement  Mécanique]])</f>
        <v>52</v>
      </c>
      <c r="U120" s="50">
        <f>YEAR(RecetteTransport2[[#This Row],[Date Achevement  Mécanique]])</f>
        <v>1900</v>
      </c>
      <c r="V120" s="2"/>
      <c r="W120" s="50">
        <f>_xlfn.ISOWEEKNUM(RecetteTransport2[[#This Row],[Date de mesure]])</f>
        <v>52</v>
      </c>
      <c r="X120" s="11">
        <f>YEAR(RecetteTransport2[[#This Row],[Date de mesure]])</f>
        <v>1900</v>
      </c>
      <c r="Y120" s="2">
        <v>44161</v>
      </c>
      <c r="Z120" s="50">
        <f>_xlfn.ISOWEEKNUM(RecetteTransport2[[#This Row],[Date envoie dossier mesure]])</f>
        <v>48</v>
      </c>
      <c r="AA120" s="50">
        <f>YEAR(RecetteTransport2[[#This Row],[Date envoie dossier mesure]])</f>
        <v>2020</v>
      </c>
      <c r="AB120" s="11">
        <v>1</v>
      </c>
      <c r="AC120" s="11">
        <v>0</v>
      </c>
      <c r="AD120" s="50">
        <v>12</v>
      </c>
      <c r="AE120" s="6" t="e">
        <f>RecetteTransport2[[#All],[Nb de reprises Optiques]]/#REF!</f>
        <v>#REF!</v>
      </c>
      <c r="AF120" s="6"/>
    </row>
    <row r="121" spans="1:32" hidden="1" x14ac:dyDescent="0.3">
      <c r="A121" t="s">
        <v>12</v>
      </c>
      <c r="B121" t="s">
        <v>15</v>
      </c>
      <c r="C121" t="s">
        <v>45</v>
      </c>
      <c r="D121" t="s">
        <v>125</v>
      </c>
      <c r="G121" s="11"/>
      <c r="H121" s="11" t="s">
        <v>29</v>
      </c>
      <c r="I121" s="11" t="s">
        <v>29</v>
      </c>
      <c r="J121" s="11">
        <f>RecetteTransport2[[#All],[Fibres TC NOK]]</f>
        <v>0</v>
      </c>
      <c r="K121" s="50">
        <f>RecetteTransport2[[#All],[Valeur Critique]]</f>
        <v>0</v>
      </c>
      <c r="L121" s="50">
        <v>0</v>
      </c>
      <c r="N121" t="s">
        <v>389</v>
      </c>
      <c r="O121" s="2">
        <v>44252</v>
      </c>
      <c r="P121">
        <f xml:space="preserve"> _xlfn.ISOWEEKNUM(RecetteTransport2[[#This Row],[Date validation Optique]])</f>
        <v>8</v>
      </c>
      <c r="Q121">
        <f>YEAR(RecetteTransport2[[#This Row],[Date validation Optique]])</f>
        <v>2021</v>
      </c>
      <c r="T121" s="50">
        <f>_xlfn.ISOWEEKNUM(RecetteTransport2[[#This Row],[Date Achevement  Mécanique]])</f>
        <v>52</v>
      </c>
      <c r="U121" s="50">
        <f>YEAR(RecetteTransport2[[#This Row],[Date Achevement  Mécanique]])</f>
        <v>1900</v>
      </c>
      <c r="V121" s="2"/>
      <c r="W121" s="50">
        <f>_xlfn.ISOWEEKNUM(RecetteTransport2[[#This Row],[Date de mesure]])</f>
        <v>52</v>
      </c>
      <c r="X121" s="11">
        <f>YEAR(RecetteTransport2[[#This Row],[Date de mesure]])</f>
        <v>1900</v>
      </c>
      <c r="Y121" s="2">
        <v>44161</v>
      </c>
      <c r="Z121" s="50">
        <f>_xlfn.ISOWEEKNUM(RecetteTransport2[[#This Row],[Date envoie dossier mesure]])</f>
        <v>48</v>
      </c>
      <c r="AA121" s="50">
        <f>YEAR(RecetteTransport2[[#This Row],[Date envoie dossier mesure]])</f>
        <v>2020</v>
      </c>
      <c r="AB121" s="11">
        <v>0</v>
      </c>
      <c r="AC121" s="11">
        <v>0</v>
      </c>
      <c r="AD121" s="50">
        <v>47</v>
      </c>
      <c r="AE121" s="6" t="e">
        <f>RecetteTransport2[[#All],[Nb de reprises Optiques]]/#REF!</f>
        <v>#REF!</v>
      </c>
      <c r="AF121" s="6"/>
    </row>
    <row r="122" spans="1:32" hidden="1" x14ac:dyDescent="0.3">
      <c r="A122" t="s">
        <v>12</v>
      </c>
      <c r="B122" t="s">
        <v>15</v>
      </c>
      <c r="C122" t="s">
        <v>45</v>
      </c>
      <c r="D122" t="s">
        <v>107</v>
      </c>
      <c r="G122" s="11"/>
      <c r="H122" s="11" t="s">
        <v>29</v>
      </c>
      <c r="I122" s="11" t="s">
        <v>29</v>
      </c>
      <c r="J122" s="11">
        <f>RecetteTransport2[[#All],[Fibres TC NOK]]</f>
        <v>0</v>
      </c>
      <c r="K122" s="50">
        <f>RecetteTransport2[[#All],[Valeur Critique]]</f>
        <v>0</v>
      </c>
      <c r="L122" s="50">
        <f>AD:AD</f>
        <v>2</v>
      </c>
      <c r="N122" t="s">
        <v>65</v>
      </c>
      <c r="P122">
        <f xml:space="preserve"> _xlfn.ISOWEEKNUM(RecetteTransport2[[#This Row],[Date validation Optique]])</f>
        <v>52</v>
      </c>
      <c r="Q122">
        <f>YEAR(RecetteTransport2[[#This Row],[Date validation Optique]])</f>
        <v>1900</v>
      </c>
      <c r="T122" s="50">
        <f>_xlfn.ISOWEEKNUM(RecetteTransport2[[#This Row],[Date Achevement  Mécanique]])</f>
        <v>52</v>
      </c>
      <c r="U122" s="50">
        <f>YEAR(RecetteTransport2[[#This Row],[Date Achevement  Mécanique]])</f>
        <v>1900</v>
      </c>
      <c r="V122" s="2"/>
      <c r="W122" s="50">
        <f>_xlfn.ISOWEEKNUM(RecetteTransport2[[#This Row],[Date de mesure]])</f>
        <v>52</v>
      </c>
      <c r="X122" s="11">
        <f>YEAR(RecetteTransport2[[#This Row],[Date de mesure]])</f>
        <v>1900</v>
      </c>
      <c r="Y122" s="2">
        <v>44179</v>
      </c>
      <c r="Z122" s="50">
        <f>_xlfn.ISOWEEKNUM(RecetteTransport2[[#This Row],[Date envoie dossier mesure]])</f>
        <v>51</v>
      </c>
      <c r="AA122" s="50">
        <f>YEAR(RecetteTransport2[[#This Row],[Date envoie dossier mesure]])</f>
        <v>2020</v>
      </c>
      <c r="AB122" s="11">
        <v>0</v>
      </c>
      <c r="AC122" s="11">
        <v>0</v>
      </c>
      <c r="AD122" s="50">
        <v>2</v>
      </c>
      <c r="AE122" s="6" t="e">
        <f>RecetteTransport2[[#All],[Nb de reprises Optiques]]/#REF!</f>
        <v>#REF!</v>
      </c>
      <c r="AF122" s="6"/>
    </row>
    <row r="123" spans="1:32" hidden="1" x14ac:dyDescent="0.3">
      <c r="A123" t="s">
        <v>12</v>
      </c>
      <c r="B123" t="s">
        <v>15</v>
      </c>
      <c r="C123" t="s">
        <v>45</v>
      </c>
      <c r="D123" t="s">
        <v>198</v>
      </c>
      <c r="G123" s="11"/>
      <c r="H123" s="11" t="s">
        <v>29</v>
      </c>
      <c r="I123" s="11" t="s">
        <v>29</v>
      </c>
      <c r="J123" s="11">
        <f>RecetteTransport2[[#All],[Fibres TC NOK]]</f>
        <v>0</v>
      </c>
      <c r="K123" s="50">
        <f>RecetteTransport2[[#All],[Valeur Critique]]</f>
        <v>0</v>
      </c>
      <c r="L123" s="50">
        <f>AD:AD</f>
        <v>17</v>
      </c>
      <c r="N123" t="s">
        <v>65</v>
      </c>
      <c r="P123">
        <f xml:space="preserve"> _xlfn.ISOWEEKNUM(RecetteTransport2[[#This Row],[Date validation Optique]])</f>
        <v>52</v>
      </c>
      <c r="Q123">
        <f>YEAR(RecetteTransport2[[#This Row],[Date validation Optique]])</f>
        <v>1900</v>
      </c>
      <c r="T123" s="50">
        <f>_xlfn.ISOWEEKNUM(RecetteTransport2[[#This Row],[Date Achevement  Mécanique]])</f>
        <v>52</v>
      </c>
      <c r="U123" s="50">
        <f>YEAR(RecetteTransport2[[#This Row],[Date Achevement  Mécanique]])</f>
        <v>1900</v>
      </c>
      <c r="V123" s="2"/>
      <c r="W123" s="50">
        <f>_xlfn.ISOWEEKNUM(RecetteTransport2[[#This Row],[Date de mesure]])</f>
        <v>52</v>
      </c>
      <c r="X123" s="11">
        <f>YEAR(RecetteTransport2[[#This Row],[Date de mesure]])</f>
        <v>1900</v>
      </c>
      <c r="Y123" s="2">
        <v>44194</v>
      </c>
      <c r="Z123" s="50">
        <f>_xlfn.ISOWEEKNUM(RecetteTransport2[[#This Row],[Date envoie dossier mesure]])</f>
        <v>53</v>
      </c>
      <c r="AA123" s="50">
        <f>YEAR(RecetteTransport2[[#This Row],[Date envoie dossier mesure]])</f>
        <v>2020</v>
      </c>
      <c r="AB123" s="11">
        <v>0</v>
      </c>
      <c r="AC123" s="11">
        <v>0</v>
      </c>
      <c r="AD123" s="50">
        <v>17</v>
      </c>
      <c r="AE123" s="6" t="e">
        <f>RecetteTransport2[[#All],[Nb de reprises Optiques]]/#REF!</f>
        <v>#REF!</v>
      </c>
      <c r="AF123" s="6"/>
    </row>
    <row r="124" spans="1:32" hidden="1" x14ac:dyDescent="0.3">
      <c r="A124" t="s">
        <v>12</v>
      </c>
      <c r="B124" t="s">
        <v>15</v>
      </c>
      <c r="C124" t="s">
        <v>45</v>
      </c>
      <c r="D124" t="s">
        <v>92</v>
      </c>
      <c r="G124" s="11"/>
      <c r="H124" s="11" t="s">
        <v>29</v>
      </c>
      <c r="I124" s="11" t="s">
        <v>29</v>
      </c>
      <c r="J124" s="11">
        <f>RecetteTransport2[[#All],[Fibres TC NOK]]</f>
        <v>0</v>
      </c>
      <c r="K124" s="50">
        <f>RecetteTransport2[[#All],[Valeur Critique]]</f>
        <v>0</v>
      </c>
      <c r="L124" s="50">
        <f>AD:AD</f>
        <v>42</v>
      </c>
      <c r="N124" t="s">
        <v>65</v>
      </c>
      <c r="P124">
        <f xml:space="preserve"> _xlfn.ISOWEEKNUM(RecetteTransport2[[#This Row],[Date validation Optique]])</f>
        <v>52</v>
      </c>
      <c r="Q124">
        <f>YEAR(RecetteTransport2[[#This Row],[Date validation Optique]])</f>
        <v>1900</v>
      </c>
      <c r="T124" s="50">
        <f>_xlfn.ISOWEEKNUM(RecetteTransport2[[#This Row],[Date Achevement  Mécanique]])</f>
        <v>52</v>
      </c>
      <c r="U124" s="50">
        <f>YEAR(RecetteTransport2[[#This Row],[Date Achevement  Mécanique]])</f>
        <v>1900</v>
      </c>
      <c r="V124" s="2"/>
      <c r="W124" s="50">
        <f>_xlfn.ISOWEEKNUM(RecetteTransport2[[#This Row],[Date de mesure]])</f>
        <v>52</v>
      </c>
      <c r="X124" s="11">
        <f>YEAR(RecetteTransport2[[#This Row],[Date de mesure]])</f>
        <v>1900</v>
      </c>
      <c r="Y124" s="2">
        <v>44161</v>
      </c>
      <c r="Z124" s="50">
        <f>_xlfn.ISOWEEKNUM(RecetteTransport2[[#This Row],[Date envoie dossier mesure]])</f>
        <v>48</v>
      </c>
      <c r="AA124" s="50">
        <f>YEAR(RecetteTransport2[[#This Row],[Date envoie dossier mesure]])</f>
        <v>2020</v>
      </c>
      <c r="AB124" s="11">
        <v>0</v>
      </c>
      <c r="AC124" s="11">
        <v>0</v>
      </c>
      <c r="AD124" s="50">
        <v>42</v>
      </c>
      <c r="AE124" s="6" t="e">
        <f>RecetteTransport2[[#All],[Nb de reprises Optiques]]/#REF!</f>
        <v>#REF!</v>
      </c>
      <c r="AF124" s="6"/>
    </row>
    <row r="125" spans="1:32" hidden="1" x14ac:dyDescent="0.3">
      <c r="A125" t="s">
        <v>12</v>
      </c>
      <c r="B125" t="s">
        <v>15</v>
      </c>
      <c r="C125" t="s">
        <v>45</v>
      </c>
      <c r="D125" t="s">
        <v>129</v>
      </c>
      <c r="G125" s="11"/>
      <c r="H125" s="11" t="s">
        <v>29</v>
      </c>
      <c r="I125" s="11" t="s">
        <v>29</v>
      </c>
      <c r="J125" s="11">
        <f>RecetteTransport2[[#All],[Fibres TC NOK]]</f>
        <v>0</v>
      </c>
      <c r="K125" s="50">
        <f>RecetteTransport2[[#All],[Valeur Critique]]</f>
        <v>0</v>
      </c>
      <c r="L125" s="50">
        <v>0</v>
      </c>
      <c r="N125" t="s">
        <v>389</v>
      </c>
      <c r="O125" s="2">
        <v>44252</v>
      </c>
      <c r="P125">
        <f xml:space="preserve"> _xlfn.ISOWEEKNUM(RecetteTransport2[[#This Row],[Date validation Optique]])</f>
        <v>8</v>
      </c>
      <c r="Q125">
        <f>YEAR(RecetteTransport2[[#This Row],[Date validation Optique]])</f>
        <v>2021</v>
      </c>
      <c r="T125" s="50">
        <f>_xlfn.ISOWEEKNUM(RecetteTransport2[[#This Row],[Date Achevement  Mécanique]])</f>
        <v>52</v>
      </c>
      <c r="U125" s="50">
        <f>YEAR(RecetteTransport2[[#This Row],[Date Achevement  Mécanique]])</f>
        <v>1900</v>
      </c>
      <c r="V125" s="2"/>
      <c r="W125" s="50">
        <f>_xlfn.ISOWEEKNUM(RecetteTransport2[[#This Row],[Date de mesure]])</f>
        <v>52</v>
      </c>
      <c r="X125" s="11">
        <f>YEAR(RecetteTransport2[[#This Row],[Date de mesure]])</f>
        <v>1900</v>
      </c>
      <c r="Y125" s="2">
        <v>44223</v>
      </c>
      <c r="Z125" s="50">
        <f>_xlfn.ISOWEEKNUM(RecetteTransport2[[#This Row],[Date envoie dossier mesure]])</f>
        <v>4</v>
      </c>
      <c r="AA125" s="50">
        <f>YEAR(RecetteTransport2[[#This Row],[Date envoie dossier mesure]])</f>
        <v>2021</v>
      </c>
      <c r="AB125" s="11">
        <v>0</v>
      </c>
      <c r="AC125" s="11">
        <v>0</v>
      </c>
      <c r="AD125" s="50">
        <v>23</v>
      </c>
      <c r="AE125" s="6" t="e">
        <f>RecetteTransport2[[#All],[Nb de reprises Optiques]]/#REF!</f>
        <v>#REF!</v>
      </c>
      <c r="AF125" s="6"/>
    </row>
    <row r="126" spans="1:32" hidden="1" x14ac:dyDescent="0.3">
      <c r="A126" t="s">
        <v>12</v>
      </c>
      <c r="B126" t="s">
        <v>15</v>
      </c>
      <c r="C126" t="s">
        <v>45</v>
      </c>
      <c r="D126" t="s">
        <v>112</v>
      </c>
      <c r="G126" s="11"/>
      <c r="H126" s="11" t="s">
        <v>29</v>
      </c>
      <c r="I126" s="11" t="s">
        <v>29</v>
      </c>
      <c r="J126" s="11">
        <f>RecetteTransport2[[#All],[Fibres TC NOK]]</f>
        <v>24</v>
      </c>
      <c r="K126" s="50">
        <f>RecetteTransport2[[#All],[Valeur Critique]]</f>
        <v>0</v>
      </c>
      <c r="L126" s="50">
        <f>AD:AD</f>
        <v>7</v>
      </c>
      <c r="N126" t="s">
        <v>442</v>
      </c>
      <c r="P126">
        <f xml:space="preserve"> _xlfn.ISOWEEKNUM(RecetteTransport2[[#This Row],[Date validation Optique]])</f>
        <v>52</v>
      </c>
      <c r="Q126">
        <f>YEAR(RecetteTransport2[[#This Row],[Date validation Optique]])</f>
        <v>1900</v>
      </c>
      <c r="T126" s="50">
        <f>_xlfn.ISOWEEKNUM(RecetteTransport2[[#This Row],[Date Achevement  Mécanique]])</f>
        <v>52</v>
      </c>
      <c r="U126" s="50">
        <f>YEAR(RecetteTransport2[[#This Row],[Date Achevement  Mécanique]])</f>
        <v>1900</v>
      </c>
      <c r="V126" s="2">
        <v>44258</v>
      </c>
      <c r="W126" s="50">
        <f>_xlfn.ISOWEEKNUM(RecetteTransport2[[#This Row],[Date de mesure]])</f>
        <v>9</v>
      </c>
      <c r="X126" s="11">
        <f>YEAR(RecetteTransport2[[#This Row],[Date de mesure]])</f>
        <v>2021</v>
      </c>
      <c r="Y126" s="2">
        <v>44260</v>
      </c>
      <c r="Z126" s="50">
        <f>_xlfn.ISOWEEKNUM(RecetteTransport2[[#This Row],[Date envoie dossier mesure]])</f>
        <v>9</v>
      </c>
      <c r="AA126" s="50">
        <f>YEAR(RecetteTransport2[[#This Row],[Date envoie dossier mesure]])</f>
        <v>2021</v>
      </c>
      <c r="AB126" s="11">
        <v>24</v>
      </c>
      <c r="AC126" s="11">
        <v>0</v>
      </c>
      <c r="AD126" s="50">
        <v>7</v>
      </c>
      <c r="AE126" s="6" t="e">
        <f>RecetteTransport2[[#All],[Nb de reprises Optiques]]/#REF!</f>
        <v>#REF!</v>
      </c>
      <c r="AF126" s="6"/>
    </row>
    <row r="127" spans="1:32" hidden="1" x14ac:dyDescent="0.3">
      <c r="A127" t="s">
        <v>12</v>
      </c>
      <c r="B127" t="s">
        <v>15</v>
      </c>
      <c r="C127" t="s">
        <v>45</v>
      </c>
      <c r="D127" t="s">
        <v>148</v>
      </c>
      <c r="G127" s="11"/>
      <c r="H127" s="11" t="s">
        <v>29</v>
      </c>
      <c r="I127" s="11" t="s">
        <v>29</v>
      </c>
      <c r="J127" s="11">
        <f>RecetteTransport2[[#All],[Fibres TC NOK]]</f>
        <v>0</v>
      </c>
      <c r="K127" s="50">
        <f>RecetteTransport2[[#All],[Valeur Critique]]</f>
        <v>0</v>
      </c>
      <c r="L127" s="50">
        <v>0</v>
      </c>
      <c r="N127" t="s">
        <v>389</v>
      </c>
      <c r="O127" s="2">
        <v>44252</v>
      </c>
      <c r="P127">
        <f xml:space="preserve"> _xlfn.ISOWEEKNUM(RecetteTransport2[[#This Row],[Date validation Optique]])</f>
        <v>8</v>
      </c>
      <c r="Q127">
        <f>YEAR(RecetteTransport2[[#This Row],[Date validation Optique]])</f>
        <v>2021</v>
      </c>
      <c r="T127" s="50">
        <f>_xlfn.ISOWEEKNUM(RecetteTransport2[[#This Row],[Date Achevement  Mécanique]])</f>
        <v>52</v>
      </c>
      <c r="U127" s="50">
        <f>YEAR(RecetteTransport2[[#This Row],[Date Achevement  Mécanique]])</f>
        <v>1900</v>
      </c>
      <c r="V127" s="2"/>
      <c r="W127" s="50">
        <f>_xlfn.ISOWEEKNUM(RecetteTransport2[[#This Row],[Date de mesure]])</f>
        <v>52</v>
      </c>
      <c r="X127" s="11">
        <f>YEAR(RecetteTransport2[[#This Row],[Date de mesure]])</f>
        <v>1900</v>
      </c>
      <c r="Y127" s="2">
        <v>44223</v>
      </c>
      <c r="Z127" s="50">
        <f>_xlfn.ISOWEEKNUM(RecetteTransport2[[#This Row],[Date envoie dossier mesure]])</f>
        <v>4</v>
      </c>
      <c r="AA127" s="50">
        <f>YEAR(RecetteTransport2[[#This Row],[Date envoie dossier mesure]])</f>
        <v>2021</v>
      </c>
      <c r="AB127" s="11">
        <v>0</v>
      </c>
      <c r="AC127" s="11">
        <v>0</v>
      </c>
      <c r="AD127" s="50">
        <v>3</v>
      </c>
      <c r="AE127" s="6" t="e">
        <f>RecetteTransport2[[#All],[Nb de reprises Optiques]]/#REF!</f>
        <v>#REF!</v>
      </c>
      <c r="AF127" s="6"/>
    </row>
    <row r="128" spans="1:32" hidden="1" x14ac:dyDescent="0.3">
      <c r="A128" t="s">
        <v>12</v>
      </c>
      <c r="B128" t="s">
        <v>15</v>
      </c>
      <c r="C128" t="s">
        <v>45</v>
      </c>
      <c r="D128" t="s">
        <v>117</v>
      </c>
      <c r="G128" s="11"/>
      <c r="H128" s="11" t="s">
        <v>29</v>
      </c>
      <c r="I128" s="11" t="s">
        <v>29</v>
      </c>
      <c r="J128" s="11">
        <f>RecetteTransport2[[#All],[Fibres TC NOK]]</f>
        <v>0</v>
      </c>
      <c r="K128" s="50">
        <f>RecetteTransport2[[#All],[Valeur Critique]]</f>
        <v>0</v>
      </c>
      <c r="L128" s="50">
        <v>0</v>
      </c>
      <c r="N128" t="s">
        <v>389</v>
      </c>
      <c r="O128" s="2">
        <v>44252</v>
      </c>
      <c r="P128">
        <f xml:space="preserve"> _xlfn.ISOWEEKNUM(RecetteTransport2[[#This Row],[Date validation Optique]])</f>
        <v>8</v>
      </c>
      <c r="Q128">
        <f>YEAR(RecetteTransport2[[#This Row],[Date validation Optique]])</f>
        <v>2021</v>
      </c>
      <c r="T128" s="50">
        <f>_xlfn.ISOWEEKNUM(RecetteTransport2[[#This Row],[Date Achevement  Mécanique]])</f>
        <v>52</v>
      </c>
      <c r="U128" s="50">
        <f>YEAR(RecetteTransport2[[#This Row],[Date Achevement  Mécanique]])</f>
        <v>1900</v>
      </c>
      <c r="V128" s="2"/>
      <c r="W128" s="50">
        <f>_xlfn.ISOWEEKNUM(RecetteTransport2[[#This Row],[Date de mesure]])</f>
        <v>52</v>
      </c>
      <c r="X128" s="11">
        <f>YEAR(RecetteTransport2[[#This Row],[Date de mesure]])</f>
        <v>1900</v>
      </c>
      <c r="Y128" s="2">
        <v>44223</v>
      </c>
      <c r="Z128" s="50">
        <f>_xlfn.ISOWEEKNUM(RecetteTransport2[[#This Row],[Date envoie dossier mesure]])</f>
        <v>4</v>
      </c>
      <c r="AA128" s="50">
        <f>YEAR(RecetteTransport2[[#This Row],[Date envoie dossier mesure]])</f>
        <v>2021</v>
      </c>
      <c r="AB128" s="11">
        <v>0</v>
      </c>
      <c r="AC128" s="11">
        <v>0</v>
      </c>
      <c r="AD128" s="50">
        <v>5</v>
      </c>
      <c r="AE128" s="6" t="e">
        <f>RecetteTransport2[[#All],[Nb de reprises Optiques]]/#REF!</f>
        <v>#REF!</v>
      </c>
      <c r="AF128" s="6"/>
    </row>
    <row r="129" spans="1:32" hidden="1" x14ac:dyDescent="0.3">
      <c r="A129" t="s">
        <v>12</v>
      </c>
      <c r="B129" t="s">
        <v>15</v>
      </c>
      <c r="C129" t="s">
        <v>45</v>
      </c>
      <c r="D129" t="s">
        <v>108</v>
      </c>
      <c r="G129" s="11"/>
      <c r="H129" s="11" t="s">
        <v>29</v>
      </c>
      <c r="I129" s="11" t="s">
        <v>29</v>
      </c>
      <c r="J129" s="11">
        <v>0</v>
      </c>
      <c r="K129" s="50">
        <f>RecetteTransport2[[#All],[Valeur Critique]]</f>
        <v>0</v>
      </c>
      <c r="L129" s="50">
        <v>0</v>
      </c>
      <c r="N129" t="s">
        <v>389</v>
      </c>
      <c r="O129" s="2">
        <v>44252</v>
      </c>
      <c r="P129">
        <f xml:space="preserve"> _xlfn.ISOWEEKNUM(RecetteTransport2[[#This Row],[Date validation Optique]])</f>
        <v>8</v>
      </c>
      <c r="Q129">
        <f>YEAR(RecetteTransport2[[#This Row],[Date validation Optique]])</f>
        <v>2021</v>
      </c>
      <c r="T129" s="50">
        <f>_xlfn.ISOWEEKNUM(RecetteTransport2[[#This Row],[Date Achevement  Mécanique]])</f>
        <v>52</v>
      </c>
      <c r="U129" s="50">
        <f>YEAR(RecetteTransport2[[#This Row],[Date Achevement  Mécanique]])</f>
        <v>1900</v>
      </c>
      <c r="V129" s="2"/>
      <c r="W129" s="50">
        <f>_xlfn.ISOWEEKNUM(RecetteTransport2[[#This Row],[Date de mesure]])</f>
        <v>52</v>
      </c>
      <c r="X129" s="11">
        <f>YEAR(RecetteTransport2[[#This Row],[Date de mesure]])</f>
        <v>1900</v>
      </c>
      <c r="Y129" s="2">
        <v>44223</v>
      </c>
      <c r="Z129" s="50">
        <f>_xlfn.ISOWEEKNUM(RecetteTransport2[[#This Row],[Date envoie dossier mesure]])</f>
        <v>4</v>
      </c>
      <c r="AA129" s="50">
        <f>YEAR(RecetteTransport2[[#This Row],[Date envoie dossier mesure]])</f>
        <v>2021</v>
      </c>
      <c r="AB129" s="11">
        <v>1</v>
      </c>
      <c r="AC129" s="11">
        <v>0</v>
      </c>
      <c r="AD129" s="50">
        <v>10</v>
      </c>
      <c r="AE129" s="6" t="e">
        <f>RecetteTransport2[[#All],[Nb de reprises Optiques]]/#REF!</f>
        <v>#REF!</v>
      </c>
      <c r="AF129" s="6"/>
    </row>
    <row r="130" spans="1:32" hidden="1" x14ac:dyDescent="0.3">
      <c r="A130" t="s">
        <v>12</v>
      </c>
      <c r="B130" t="s">
        <v>15</v>
      </c>
      <c r="C130" t="s">
        <v>45</v>
      </c>
      <c r="D130" t="s">
        <v>197</v>
      </c>
      <c r="G130" s="11"/>
      <c r="H130" s="11" t="s">
        <v>29</v>
      </c>
      <c r="I130" s="11" t="s">
        <v>29</v>
      </c>
      <c r="J130" s="11">
        <f>RecetteTransport2[[#All],[Fibres TC NOK]]</f>
        <v>0</v>
      </c>
      <c r="K130" s="50">
        <f>RecetteTransport2[[#All],[Valeur Critique]]</f>
        <v>0</v>
      </c>
      <c r="L130" s="50">
        <f>AD:AD</f>
        <v>102</v>
      </c>
      <c r="N130" t="s">
        <v>65</v>
      </c>
      <c r="P130">
        <f xml:space="preserve"> _xlfn.ISOWEEKNUM(RecetteTransport2[[#This Row],[Date validation Optique]])</f>
        <v>52</v>
      </c>
      <c r="Q130">
        <f>YEAR(RecetteTransport2[[#This Row],[Date validation Optique]])</f>
        <v>1900</v>
      </c>
      <c r="T130" s="50">
        <f>_xlfn.ISOWEEKNUM(RecetteTransport2[[#This Row],[Date Achevement  Mécanique]])</f>
        <v>52</v>
      </c>
      <c r="U130" s="50">
        <f>YEAR(RecetteTransport2[[#This Row],[Date Achevement  Mécanique]])</f>
        <v>1900</v>
      </c>
      <c r="V130" s="2"/>
      <c r="W130" s="50">
        <f>_xlfn.ISOWEEKNUM(RecetteTransport2[[#This Row],[Date de mesure]])</f>
        <v>52</v>
      </c>
      <c r="X130" s="11">
        <f>YEAR(RecetteTransport2[[#This Row],[Date de mesure]])</f>
        <v>1900</v>
      </c>
      <c r="Y130" s="2">
        <v>44179</v>
      </c>
      <c r="Z130" s="50">
        <f>_xlfn.ISOWEEKNUM(RecetteTransport2[[#This Row],[Date envoie dossier mesure]])</f>
        <v>51</v>
      </c>
      <c r="AA130" s="50">
        <f>YEAR(RecetteTransport2[[#This Row],[Date envoie dossier mesure]])</f>
        <v>2020</v>
      </c>
      <c r="AB130" s="11">
        <v>0</v>
      </c>
      <c r="AC130" s="11">
        <v>0</v>
      </c>
      <c r="AD130" s="50">
        <v>102</v>
      </c>
      <c r="AE130" s="6" t="e">
        <f>RecetteTransport2[[#All],[Nb de reprises Optiques]]/#REF!</f>
        <v>#REF!</v>
      </c>
      <c r="AF130" s="6"/>
    </row>
    <row r="131" spans="1:32" x14ac:dyDescent="0.3">
      <c r="A131" t="s">
        <v>12</v>
      </c>
      <c r="B131" t="s">
        <v>15</v>
      </c>
      <c r="D131" t="s">
        <v>475</v>
      </c>
      <c r="G131" s="11"/>
      <c r="H131" s="11"/>
      <c r="I131" s="11"/>
      <c r="J131" s="11">
        <f>RecetteTransport2[[#All],[Fibres TC NOK]]</f>
        <v>0</v>
      </c>
      <c r="K131" s="50">
        <f>RecetteTransport2[[#All],[Valeur Critique]]</f>
        <v>0</v>
      </c>
      <c r="L131" s="50">
        <f t="shared" ref="L131:L136" si="7">AD:AD</f>
        <v>0</v>
      </c>
      <c r="P131" s="11">
        <f xml:space="preserve"> _xlfn.ISOWEEKNUM(RecetteTransport2[[#This Row],[Date validation Optique]])</f>
        <v>52</v>
      </c>
      <c r="Q131" s="11">
        <f>YEAR(RecetteTransport2[[#This Row],[Date validation Optique]])</f>
        <v>1900</v>
      </c>
      <c r="S131" s="47" t="e">
        <f>#REF!+10</f>
        <v>#REF!</v>
      </c>
      <c r="T131" s="50" t="e">
        <f>_xlfn.ISOWEEKNUM(RecetteTransport2[[#This Row],[Date Achevement  Mécanique]])</f>
        <v>#REF!</v>
      </c>
      <c r="U131" s="50" t="e">
        <f>YEAR(RecetteTransport2[[#This Row],[Date Achevement  Mécanique]])</f>
        <v>#REF!</v>
      </c>
      <c r="V131" s="47"/>
      <c r="W131" s="50">
        <f>_xlfn.ISOWEEKNUM(RecetteTransport2[[#This Row],[Date de mesure]])</f>
        <v>52</v>
      </c>
      <c r="X131" s="11">
        <f>YEAR(RecetteTransport2[[#This Row],[Date de mesure]])</f>
        <v>1900</v>
      </c>
      <c r="Y131" s="47"/>
      <c r="Z131" s="50">
        <f>_xlfn.ISOWEEKNUM(RecetteTransport2[[#This Row],[Date envoie dossier mesure]])</f>
        <v>52</v>
      </c>
      <c r="AA131" s="50">
        <f>YEAR(RecetteTransport2[[#This Row],[Date envoie dossier mesure]])</f>
        <v>1900</v>
      </c>
      <c r="AB131" s="11"/>
      <c r="AC131" s="11"/>
      <c r="AE131" s="6" t="e">
        <f>RecetteTransport2[[#All],[Nb de reprises Optiques]]/#REF!</f>
        <v>#REF!</v>
      </c>
      <c r="AF131" s="6"/>
    </row>
    <row r="132" spans="1:32" x14ac:dyDescent="0.3">
      <c r="A132" t="s">
        <v>12</v>
      </c>
      <c r="B132" t="s">
        <v>15</v>
      </c>
      <c r="D132" t="s">
        <v>476</v>
      </c>
      <c r="G132" s="11"/>
      <c r="H132" s="11"/>
      <c r="I132" s="11"/>
      <c r="J132" s="11">
        <f>RecetteTransport2[[#All],[Fibres TC NOK]]</f>
        <v>0</v>
      </c>
      <c r="K132" s="50">
        <f>RecetteTransport2[[#All],[Valeur Critique]]</f>
        <v>0</v>
      </c>
      <c r="L132" s="50">
        <f t="shared" si="7"/>
        <v>0</v>
      </c>
      <c r="P132" s="11">
        <f xml:space="preserve"> _xlfn.ISOWEEKNUM(RecetteTransport2[[#This Row],[Date validation Optique]])</f>
        <v>52</v>
      </c>
      <c r="Q132" s="11">
        <f>YEAR(RecetteTransport2[[#This Row],[Date validation Optique]])</f>
        <v>1900</v>
      </c>
      <c r="S132" s="47" t="e">
        <f>#REF!+10</f>
        <v>#REF!</v>
      </c>
      <c r="T132" s="50" t="e">
        <f>_xlfn.ISOWEEKNUM(RecetteTransport2[[#This Row],[Date Achevement  Mécanique]])</f>
        <v>#REF!</v>
      </c>
      <c r="U132" s="50" t="e">
        <f>YEAR(RecetteTransport2[[#This Row],[Date Achevement  Mécanique]])</f>
        <v>#REF!</v>
      </c>
      <c r="V132" s="47"/>
      <c r="W132" s="50">
        <f>_xlfn.ISOWEEKNUM(RecetteTransport2[[#This Row],[Date de mesure]])</f>
        <v>52</v>
      </c>
      <c r="X132" s="11">
        <f>YEAR(RecetteTransport2[[#This Row],[Date de mesure]])</f>
        <v>1900</v>
      </c>
      <c r="Y132" s="47"/>
      <c r="Z132" s="50">
        <f>_xlfn.ISOWEEKNUM(RecetteTransport2[[#This Row],[Date envoie dossier mesure]])</f>
        <v>52</v>
      </c>
      <c r="AA132" s="50">
        <f>YEAR(RecetteTransport2[[#This Row],[Date envoie dossier mesure]])</f>
        <v>1900</v>
      </c>
      <c r="AB132" s="11"/>
      <c r="AC132" s="11"/>
      <c r="AE132" s="6" t="e">
        <f>RecetteTransport2[[#All],[Nb de reprises Optiques]]/#REF!</f>
        <v>#REF!</v>
      </c>
      <c r="AF132" s="6"/>
    </row>
    <row r="133" spans="1:32" x14ac:dyDescent="0.3">
      <c r="A133" t="s">
        <v>12</v>
      </c>
      <c r="B133" t="s">
        <v>15</v>
      </c>
      <c r="D133" t="s">
        <v>477</v>
      </c>
      <c r="G133" s="11"/>
      <c r="H133" s="11"/>
      <c r="I133" s="11"/>
      <c r="J133" s="11">
        <f>RecetteTransport2[[#All],[Fibres TC NOK]]</f>
        <v>0</v>
      </c>
      <c r="K133" s="50">
        <f>RecetteTransport2[[#All],[Valeur Critique]]</f>
        <v>0</v>
      </c>
      <c r="L133" s="50">
        <f t="shared" si="7"/>
        <v>0</v>
      </c>
      <c r="P133" s="11">
        <f xml:space="preserve"> _xlfn.ISOWEEKNUM(RecetteTransport2[[#This Row],[Date validation Optique]])</f>
        <v>52</v>
      </c>
      <c r="Q133" s="11">
        <f>YEAR(RecetteTransport2[[#This Row],[Date validation Optique]])</f>
        <v>1900</v>
      </c>
      <c r="S133" s="47" t="e">
        <f>#REF!+10</f>
        <v>#REF!</v>
      </c>
      <c r="T133" s="50" t="e">
        <f>_xlfn.ISOWEEKNUM(RecetteTransport2[[#This Row],[Date Achevement  Mécanique]])</f>
        <v>#REF!</v>
      </c>
      <c r="U133" s="50" t="e">
        <f>YEAR(RecetteTransport2[[#This Row],[Date Achevement  Mécanique]])</f>
        <v>#REF!</v>
      </c>
      <c r="V133" s="47"/>
      <c r="W133" s="50">
        <f>_xlfn.ISOWEEKNUM(RecetteTransport2[[#This Row],[Date de mesure]])</f>
        <v>52</v>
      </c>
      <c r="X133" s="11">
        <f>YEAR(RecetteTransport2[[#This Row],[Date de mesure]])</f>
        <v>1900</v>
      </c>
      <c r="Y133" s="47"/>
      <c r="Z133" s="50">
        <f>_xlfn.ISOWEEKNUM(RecetteTransport2[[#This Row],[Date envoie dossier mesure]])</f>
        <v>52</v>
      </c>
      <c r="AA133" s="50">
        <f>YEAR(RecetteTransport2[[#This Row],[Date envoie dossier mesure]])</f>
        <v>1900</v>
      </c>
      <c r="AB133" s="11"/>
      <c r="AC133" s="11"/>
      <c r="AE133" s="6" t="e">
        <f>RecetteTransport2[[#All],[Nb de reprises Optiques]]/#REF!</f>
        <v>#REF!</v>
      </c>
      <c r="AF133" s="6"/>
    </row>
    <row r="134" spans="1:32" x14ac:dyDescent="0.3">
      <c r="A134" t="s">
        <v>12</v>
      </c>
      <c r="B134" t="s">
        <v>15</v>
      </c>
      <c r="D134" t="s">
        <v>478</v>
      </c>
      <c r="G134" s="11"/>
      <c r="H134" s="11"/>
      <c r="I134" s="11"/>
      <c r="J134" s="11">
        <f>RecetteTransport2[[#All],[Fibres TC NOK]]</f>
        <v>0</v>
      </c>
      <c r="K134" s="50">
        <f>RecetteTransport2[[#All],[Valeur Critique]]</f>
        <v>0</v>
      </c>
      <c r="L134" s="50">
        <f t="shared" si="7"/>
        <v>0</v>
      </c>
      <c r="P134" s="11">
        <f xml:space="preserve"> _xlfn.ISOWEEKNUM(RecetteTransport2[[#This Row],[Date validation Optique]])</f>
        <v>52</v>
      </c>
      <c r="Q134" s="11">
        <f>YEAR(RecetteTransport2[[#This Row],[Date validation Optique]])</f>
        <v>1900</v>
      </c>
      <c r="S134" s="47" t="e">
        <f>#REF!+10</f>
        <v>#REF!</v>
      </c>
      <c r="T134" s="50" t="e">
        <f>_xlfn.ISOWEEKNUM(RecetteTransport2[[#This Row],[Date Achevement  Mécanique]])</f>
        <v>#REF!</v>
      </c>
      <c r="U134" s="50" t="e">
        <f>YEAR(RecetteTransport2[[#This Row],[Date Achevement  Mécanique]])</f>
        <v>#REF!</v>
      </c>
      <c r="V134" s="47"/>
      <c r="W134" s="50">
        <f>_xlfn.ISOWEEKNUM(RecetteTransport2[[#This Row],[Date de mesure]])</f>
        <v>52</v>
      </c>
      <c r="X134" s="11">
        <f>YEAR(RecetteTransport2[[#This Row],[Date de mesure]])</f>
        <v>1900</v>
      </c>
      <c r="Y134" s="47"/>
      <c r="Z134" s="50">
        <f>_xlfn.ISOWEEKNUM(RecetteTransport2[[#This Row],[Date envoie dossier mesure]])</f>
        <v>52</v>
      </c>
      <c r="AA134" s="50">
        <f>YEAR(RecetteTransport2[[#This Row],[Date envoie dossier mesure]])</f>
        <v>1900</v>
      </c>
      <c r="AB134" s="11"/>
      <c r="AC134" s="11"/>
      <c r="AE134" s="6" t="e">
        <f>RecetteTransport2[[#All],[Nb de reprises Optiques]]/#REF!</f>
        <v>#REF!</v>
      </c>
      <c r="AF134" s="6"/>
    </row>
    <row r="135" spans="1:32" x14ac:dyDescent="0.3">
      <c r="A135" t="s">
        <v>12</v>
      </c>
      <c r="B135" t="s">
        <v>15</v>
      </c>
      <c r="D135" t="s">
        <v>479</v>
      </c>
      <c r="G135" s="11"/>
      <c r="H135" s="11"/>
      <c r="I135" s="11"/>
      <c r="J135" s="11">
        <f>RecetteTransport2[[#All],[Fibres TC NOK]]</f>
        <v>0</v>
      </c>
      <c r="K135" s="50">
        <f>RecetteTransport2[[#All],[Valeur Critique]]</f>
        <v>0</v>
      </c>
      <c r="L135" s="50">
        <f t="shared" si="7"/>
        <v>0</v>
      </c>
      <c r="P135" s="11">
        <f xml:space="preserve"> _xlfn.ISOWEEKNUM(RecetteTransport2[[#This Row],[Date validation Optique]])</f>
        <v>52</v>
      </c>
      <c r="Q135" s="11">
        <f>YEAR(RecetteTransport2[[#This Row],[Date validation Optique]])</f>
        <v>1900</v>
      </c>
      <c r="S135" s="47" t="e">
        <f>#REF!+10</f>
        <v>#REF!</v>
      </c>
      <c r="T135" s="50" t="e">
        <f>_xlfn.ISOWEEKNUM(RecetteTransport2[[#This Row],[Date Achevement  Mécanique]])</f>
        <v>#REF!</v>
      </c>
      <c r="U135" s="50" t="e">
        <f>YEAR(RecetteTransport2[[#This Row],[Date Achevement  Mécanique]])</f>
        <v>#REF!</v>
      </c>
      <c r="V135" s="47"/>
      <c r="W135" s="50">
        <f>_xlfn.ISOWEEKNUM(RecetteTransport2[[#This Row],[Date de mesure]])</f>
        <v>52</v>
      </c>
      <c r="X135" s="11">
        <f>YEAR(RecetteTransport2[[#This Row],[Date de mesure]])</f>
        <v>1900</v>
      </c>
      <c r="Y135" s="47"/>
      <c r="Z135" s="50">
        <f>_xlfn.ISOWEEKNUM(RecetteTransport2[[#This Row],[Date envoie dossier mesure]])</f>
        <v>52</v>
      </c>
      <c r="AA135" s="50">
        <f>YEAR(RecetteTransport2[[#This Row],[Date envoie dossier mesure]])</f>
        <v>1900</v>
      </c>
      <c r="AB135" s="11"/>
      <c r="AC135" s="11"/>
      <c r="AE135" s="6" t="e">
        <f>RecetteTransport2[[#All],[Nb de reprises Optiques]]/#REF!</f>
        <v>#REF!</v>
      </c>
      <c r="AF135" s="6"/>
    </row>
    <row r="136" spans="1:32" x14ac:dyDescent="0.3">
      <c r="A136" t="s">
        <v>12</v>
      </c>
      <c r="B136" t="s">
        <v>15</v>
      </c>
      <c r="D136" t="s">
        <v>480</v>
      </c>
      <c r="G136" s="11"/>
      <c r="H136" s="11"/>
      <c r="I136" s="11"/>
      <c r="J136" s="11">
        <f>RecetteTransport2[[#All],[Fibres TC NOK]]</f>
        <v>0</v>
      </c>
      <c r="K136" s="50">
        <f>RecetteTransport2[[#All],[Valeur Critique]]</f>
        <v>0</v>
      </c>
      <c r="L136" s="50">
        <f t="shared" si="7"/>
        <v>0</v>
      </c>
      <c r="P136" s="11">
        <f xml:space="preserve"> _xlfn.ISOWEEKNUM(RecetteTransport2[[#This Row],[Date validation Optique]])</f>
        <v>52</v>
      </c>
      <c r="Q136" s="11">
        <f>YEAR(RecetteTransport2[[#This Row],[Date validation Optique]])</f>
        <v>1900</v>
      </c>
      <c r="S136" s="47" t="e">
        <f>#REF!+10</f>
        <v>#REF!</v>
      </c>
      <c r="T136" s="50" t="e">
        <f>_xlfn.ISOWEEKNUM(RecetteTransport2[[#This Row],[Date Achevement  Mécanique]])</f>
        <v>#REF!</v>
      </c>
      <c r="U136" s="50" t="e">
        <f>YEAR(RecetteTransport2[[#This Row],[Date Achevement  Mécanique]])</f>
        <v>#REF!</v>
      </c>
      <c r="V136" s="47"/>
      <c r="W136" s="50">
        <f>_xlfn.ISOWEEKNUM(RecetteTransport2[[#This Row],[Date de mesure]])</f>
        <v>52</v>
      </c>
      <c r="X136" s="11">
        <f>YEAR(RecetteTransport2[[#This Row],[Date de mesure]])</f>
        <v>1900</v>
      </c>
      <c r="Y136" s="47"/>
      <c r="Z136" s="50">
        <f>_xlfn.ISOWEEKNUM(RecetteTransport2[[#This Row],[Date envoie dossier mesure]])</f>
        <v>52</v>
      </c>
      <c r="AA136" s="50">
        <f>YEAR(RecetteTransport2[[#This Row],[Date envoie dossier mesure]])</f>
        <v>1900</v>
      </c>
      <c r="AB136" s="11"/>
      <c r="AC136" s="11"/>
      <c r="AE136" s="6" t="e">
        <f>RecetteTransport2[[#All],[Nb de reprises Optiques]]/#REF!</f>
        <v>#REF!</v>
      </c>
      <c r="AF136" s="6"/>
    </row>
    <row r="137" spans="1:32" hidden="1" x14ac:dyDescent="0.3">
      <c r="A137" t="s">
        <v>12</v>
      </c>
      <c r="B137" t="s">
        <v>15</v>
      </c>
      <c r="C137" t="s">
        <v>127</v>
      </c>
      <c r="D137" t="s">
        <v>126</v>
      </c>
      <c r="E137">
        <v>4909249</v>
      </c>
      <c r="G137" s="11"/>
      <c r="H137" s="11" t="s">
        <v>29</v>
      </c>
      <c r="I137" s="11" t="s">
        <v>29</v>
      </c>
      <c r="J137" s="11">
        <f>RecetteTransport2[[#All],[Fibres TC NOK]]</f>
        <v>0</v>
      </c>
      <c r="K137" s="50">
        <f>RecetteTransport2[[#All],[Valeur Critique]]</f>
        <v>0</v>
      </c>
      <c r="L137" s="50">
        <f>AD:AD</f>
        <v>17</v>
      </c>
      <c r="N137" t="s">
        <v>65</v>
      </c>
      <c r="P137">
        <f xml:space="preserve"> _xlfn.ISOWEEKNUM(RecetteTransport2[[#This Row],[Date validation Optique]])</f>
        <v>52</v>
      </c>
      <c r="Q137">
        <f>YEAR(RecetteTransport2[[#This Row],[Date validation Optique]])</f>
        <v>1900</v>
      </c>
      <c r="T137" s="50">
        <f>_xlfn.ISOWEEKNUM(RecetteTransport2[[#This Row],[Date Achevement  Mécanique]])</f>
        <v>52</v>
      </c>
      <c r="U137" s="50">
        <f>YEAR(RecetteTransport2[[#This Row],[Date Achevement  Mécanique]])</f>
        <v>1900</v>
      </c>
      <c r="V137" s="2"/>
      <c r="W137" s="50">
        <f>_xlfn.ISOWEEKNUM(RecetteTransport2[[#This Row],[Date de mesure]])</f>
        <v>52</v>
      </c>
      <c r="X137" s="11">
        <f>YEAR(RecetteTransport2[[#This Row],[Date de mesure]])</f>
        <v>1900</v>
      </c>
      <c r="Y137" s="2">
        <v>44194</v>
      </c>
      <c r="Z137" s="50">
        <f>_xlfn.ISOWEEKNUM(RecetteTransport2[[#This Row],[Date envoie dossier mesure]])</f>
        <v>53</v>
      </c>
      <c r="AA137" s="50">
        <f>YEAR(RecetteTransport2[[#This Row],[Date envoie dossier mesure]])</f>
        <v>2020</v>
      </c>
      <c r="AB137" s="11">
        <v>0</v>
      </c>
      <c r="AC137" s="11">
        <v>0</v>
      </c>
      <c r="AD137" s="50">
        <v>17</v>
      </c>
      <c r="AE137" s="6" t="e">
        <f>RecetteTransport2[[#All],[Nb de reprises Optiques]]/#REF!</f>
        <v>#REF!</v>
      </c>
      <c r="AF137" s="6"/>
    </row>
    <row r="138" spans="1:32" x14ac:dyDescent="0.3">
      <c r="A138" t="s">
        <v>12</v>
      </c>
      <c r="B138" t="s">
        <v>15</v>
      </c>
      <c r="D138" t="s">
        <v>481</v>
      </c>
      <c r="G138" s="11"/>
      <c r="H138" s="11"/>
      <c r="I138" s="11"/>
      <c r="J138" s="11">
        <f>RecetteTransport2[[#All],[Fibres TC NOK]]</f>
        <v>0</v>
      </c>
      <c r="K138" s="50">
        <f>RecetteTransport2[[#All],[Valeur Critique]]</f>
        <v>0</v>
      </c>
      <c r="L138" s="50">
        <f>AD:AD</f>
        <v>0</v>
      </c>
      <c r="P138" s="11">
        <f xml:space="preserve"> _xlfn.ISOWEEKNUM(RecetteTransport2[[#This Row],[Date validation Optique]])</f>
        <v>52</v>
      </c>
      <c r="Q138" s="11">
        <f>YEAR(RecetteTransport2[[#This Row],[Date validation Optique]])</f>
        <v>1900</v>
      </c>
      <c r="S138" s="47" t="e">
        <f>#REF!+10</f>
        <v>#REF!</v>
      </c>
      <c r="T138" s="50" t="e">
        <f>_xlfn.ISOWEEKNUM(RecetteTransport2[[#This Row],[Date Achevement  Mécanique]])</f>
        <v>#REF!</v>
      </c>
      <c r="U138" s="50" t="e">
        <f>YEAR(RecetteTransport2[[#This Row],[Date Achevement  Mécanique]])</f>
        <v>#REF!</v>
      </c>
      <c r="V138" s="47"/>
      <c r="W138" s="50">
        <f>_xlfn.ISOWEEKNUM(RecetteTransport2[[#This Row],[Date de mesure]])</f>
        <v>52</v>
      </c>
      <c r="X138" s="11">
        <f>YEAR(RecetteTransport2[[#This Row],[Date de mesure]])</f>
        <v>1900</v>
      </c>
      <c r="Y138" s="47"/>
      <c r="Z138" s="50">
        <f>_xlfn.ISOWEEKNUM(RecetteTransport2[[#This Row],[Date envoie dossier mesure]])</f>
        <v>52</v>
      </c>
      <c r="AA138" s="50">
        <f>YEAR(RecetteTransport2[[#This Row],[Date envoie dossier mesure]])</f>
        <v>1900</v>
      </c>
      <c r="AB138" s="11"/>
      <c r="AC138" s="11"/>
      <c r="AE138" s="6" t="e">
        <f>RecetteTransport2[[#All],[Nb de reprises Optiques]]/#REF!</f>
        <v>#REF!</v>
      </c>
      <c r="AF138" s="6"/>
    </row>
    <row r="139" spans="1:32" hidden="1" x14ac:dyDescent="0.3">
      <c r="A139" t="s">
        <v>12</v>
      </c>
      <c r="B139" t="s">
        <v>15</v>
      </c>
      <c r="C139" t="s">
        <v>127</v>
      </c>
      <c r="D139" t="s">
        <v>150</v>
      </c>
      <c r="G139" s="11"/>
      <c r="H139" s="11" t="s">
        <v>29</v>
      </c>
      <c r="I139" s="11"/>
      <c r="J139" s="11">
        <f>RecetteTransport2[[#All],[Fibres TC NOK]]</f>
        <v>0</v>
      </c>
      <c r="K139" s="50">
        <f>RecetteTransport2[[#All],[Valeur Critique]]</f>
        <v>0</v>
      </c>
      <c r="L139" s="50">
        <f>AD:AD</f>
        <v>0</v>
      </c>
      <c r="N139" t="s">
        <v>65</v>
      </c>
      <c r="P139">
        <f xml:space="preserve"> _xlfn.ISOWEEKNUM(RecetteTransport2[[#This Row],[Date validation Optique]])</f>
        <v>52</v>
      </c>
      <c r="Q139">
        <f>YEAR(RecetteTransport2[[#This Row],[Date validation Optique]])</f>
        <v>1900</v>
      </c>
      <c r="T139" s="50">
        <f>_xlfn.ISOWEEKNUM(RecetteTransport2[[#This Row],[Date Achevement  Mécanique]])</f>
        <v>52</v>
      </c>
      <c r="U139" s="50">
        <f>YEAR(RecetteTransport2[[#This Row],[Date Achevement  Mécanique]])</f>
        <v>1900</v>
      </c>
      <c r="V139" s="2">
        <v>44265</v>
      </c>
      <c r="W139" s="50">
        <f>_xlfn.ISOWEEKNUM(RecetteTransport2[[#This Row],[Date de mesure]])</f>
        <v>10</v>
      </c>
      <c r="X139" s="11">
        <f>YEAR(RecetteTransport2[[#This Row],[Date de mesure]])</f>
        <v>2021</v>
      </c>
      <c r="Z139" s="50">
        <f>_xlfn.ISOWEEKNUM(RecetteTransport2[[#This Row],[Date envoie dossier mesure]])</f>
        <v>52</v>
      </c>
      <c r="AA139" s="50">
        <f>YEAR(RecetteTransport2[[#This Row],[Date envoie dossier mesure]])</f>
        <v>1900</v>
      </c>
      <c r="AB139" s="11"/>
      <c r="AC139" s="11"/>
      <c r="AE139" s="6" t="e">
        <f>RecetteTransport2[[#All],[Nb de reprises Optiques]]/#REF!</f>
        <v>#REF!</v>
      </c>
      <c r="AF139" s="6"/>
    </row>
    <row r="140" spans="1:32" x14ac:dyDescent="0.3">
      <c r="A140" t="s">
        <v>12</v>
      </c>
      <c r="B140" t="s">
        <v>15</v>
      </c>
      <c r="D140" t="s">
        <v>482</v>
      </c>
      <c r="G140" s="11"/>
      <c r="H140" s="11"/>
      <c r="I140" s="11"/>
      <c r="J140" s="11">
        <f>RecetteTransport2[[#All],[Fibres TC NOK]]</f>
        <v>0</v>
      </c>
      <c r="K140" s="50">
        <f>RecetteTransport2[[#All],[Valeur Critique]]</f>
        <v>0</v>
      </c>
      <c r="L140" s="50">
        <f t="shared" ref="L140:L152" si="8">AD:AD</f>
        <v>0</v>
      </c>
      <c r="P140" s="11">
        <f xml:space="preserve"> _xlfn.ISOWEEKNUM(RecetteTransport2[[#This Row],[Date validation Optique]])</f>
        <v>52</v>
      </c>
      <c r="Q140" s="11">
        <f>YEAR(RecetteTransport2[[#This Row],[Date validation Optique]])</f>
        <v>1900</v>
      </c>
      <c r="S140" s="47" t="e">
        <f>#REF!+10</f>
        <v>#REF!</v>
      </c>
      <c r="T140" s="50" t="e">
        <f>_xlfn.ISOWEEKNUM(RecetteTransport2[[#This Row],[Date Achevement  Mécanique]])</f>
        <v>#REF!</v>
      </c>
      <c r="U140" s="50" t="e">
        <f>YEAR(RecetteTransport2[[#This Row],[Date Achevement  Mécanique]])</f>
        <v>#REF!</v>
      </c>
      <c r="V140" s="47"/>
      <c r="W140" s="50">
        <f>_xlfn.ISOWEEKNUM(RecetteTransport2[[#This Row],[Date de mesure]])</f>
        <v>52</v>
      </c>
      <c r="X140" s="11">
        <f>YEAR(RecetteTransport2[[#This Row],[Date de mesure]])</f>
        <v>1900</v>
      </c>
      <c r="Y140" s="47"/>
      <c r="Z140" s="50">
        <f>_xlfn.ISOWEEKNUM(RecetteTransport2[[#This Row],[Date envoie dossier mesure]])</f>
        <v>52</v>
      </c>
      <c r="AA140" s="50">
        <f>YEAR(RecetteTransport2[[#This Row],[Date envoie dossier mesure]])</f>
        <v>1900</v>
      </c>
      <c r="AB140" s="11"/>
      <c r="AC140" s="11"/>
      <c r="AE140" s="6" t="e">
        <f>RecetteTransport2[[#All],[Nb de reprises Optiques]]/#REF!</f>
        <v>#REF!</v>
      </c>
      <c r="AF140" s="6"/>
    </row>
    <row r="141" spans="1:32" x14ac:dyDescent="0.3">
      <c r="A141" t="s">
        <v>12</v>
      </c>
      <c r="B141" t="s">
        <v>15</v>
      </c>
      <c r="D141" t="s">
        <v>483</v>
      </c>
      <c r="G141" s="11"/>
      <c r="H141" s="11"/>
      <c r="I141" s="11"/>
      <c r="J141" s="11">
        <f>RecetteTransport2[[#All],[Fibres TC NOK]]</f>
        <v>0</v>
      </c>
      <c r="K141" s="50">
        <f>RecetteTransport2[[#All],[Valeur Critique]]</f>
        <v>0</v>
      </c>
      <c r="L141" s="50">
        <f t="shared" si="8"/>
        <v>0</v>
      </c>
      <c r="P141" s="11">
        <f xml:space="preserve"> _xlfn.ISOWEEKNUM(RecetteTransport2[[#This Row],[Date validation Optique]])</f>
        <v>52</v>
      </c>
      <c r="Q141" s="11">
        <f>YEAR(RecetteTransport2[[#This Row],[Date validation Optique]])</f>
        <v>1900</v>
      </c>
      <c r="S141" s="47" t="e">
        <f>#REF!+10</f>
        <v>#REF!</v>
      </c>
      <c r="T141" s="50" t="e">
        <f>_xlfn.ISOWEEKNUM(RecetteTransport2[[#This Row],[Date Achevement  Mécanique]])</f>
        <v>#REF!</v>
      </c>
      <c r="U141" s="50" t="e">
        <f>YEAR(RecetteTransport2[[#This Row],[Date Achevement  Mécanique]])</f>
        <v>#REF!</v>
      </c>
      <c r="V141" s="47"/>
      <c r="W141" s="50">
        <f>_xlfn.ISOWEEKNUM(RecetteTransport2[[#This Row],[Date de mesure]])</f>
        <v>52</v>
      </c>
      <c r="X141" s="11">
        <f>YEAR(RecetteTransport2[[#This Row],[Date de mesure]])</f>
        <v>1900</v>
      </c>
      <c r="Y141" s="47"/>
      <c r="Z141" s="50">
        <f>_xlfn.ISOWEEKNUM(RecetteTransport2[[#This Row],[Date envoie dossier mesure]])</f>
        <v>52</v>
      </c>
      <c r="AA141" s="50">
        <f>YEAR(RecetteTransport2[[#This Row],[Date envoie dossier mesure]])</f>
        <v>1900</v>
      </c>
      <c r="AB141" s="11"/>
      <c r="AC141" s="11"/>
      <c r="AE141" s="6" t="e">
        <f>RecetteTransport2[[#All],[Nb de reprises Optiques]]/#REF!</f>
        <v>#REF!</v>
      </c>
      <c r="AF141" s="6"/>
    </row>
    <row r="142" spans="1:32" x14ac:dyDescent="0.3">
      <c r="A142" t="s">
        <v>12</v>
      </c>
      <c r="B142" t="s">
        <v>15</v>
      </c>
      <c r="D142" t="s">
        <v>484</v>
      </c>
      <c r="G142" s="11"/>
      <c r="H142" s="11"/>
      <c r="I142" s="11"/>
      <c r="J142" s="11">
        <f>RecetteTransport2[[#All],[Fibres TC NOK]]</f>
        <v>0</v>
      </c>
      <c r="K142" s="50">
        <f>RecetteTransport2[[#All],[Valeur Critique]]</f>
        <v>0</v>
      </c>
      <c r="L142" s="50">
        <f t="shared" si="8"/>
        <v>0</v>
      </c>
      <c r="P142" s="11">
        <f xml:space="preserve"> _xlfn.ISOWEEKNUM(RecetteTransport2[[#This Row],[Date validation Optique]])</f>
        <v>52</v>
      </c>
      <c r="Q142" s="11">
        <f>YEAR(RecetteTransport2[[#This Row],[Date validation Optique]])</f>
        <v>1900</v>
      </c>
      <c r="S142" s="47" t="e">
        <f>#REF!+10</f>
        <v>#REF!</v>
      </c>
      <c r="T142" s="50" t="e">
        <f>_xlfn.ISOWEEKNUM(RecetteTransport2[[#This Row],[Date Achevement  Mécanique]])</f>
        <v>#REF!</v>
      </c>
      <c r="U142" s="50" t="e">
        <f>YEAR(RecetteTransport2[[#This Row],[Date Achevement  Mécanique]])</f>
        <v>#REF!</v>
      </c>
      <c r="V142" s="47"/>
      <c r="W142" s="50">
        <f>_xlfn.ISOWEEKNUM(RecetteTransport2[[#This Row],[Date de mesure]])</f>
        <v>52</v>
      </c>
      <c r="X142" s="11">
        <f>YEAR(RecetteTransport2[[#This Row],[Date de mesure]])</f>
        <v>1900</v>
      </c>
      <c r="Y142" s="47"/>
      <c r="Z142" s="50">
        <f>_xlfn.ISOWEEKNUM(RecetteTransport2[[#This Row],[Date envoie dossier mesure]])</f>
        <v>52</v>
      </c>
      <c r="AA142" s="50">
        <f>YEAR(RecetteTransport2[[#This Row],[Date envoie dossier mesure]])</f>
        <v>1900</v>
      </c>
      <c r="AB142" s="11"/>
      <c r="AC142" s="11"/>
      <c r="AE142" s="6" t="e">
        <f>RecetteTransport2[[#All],[Nb de reprises Optiques]]/#REF!</f>
        <v>#REF!</v>
      </c>
      <c r="AF142" s="6"/>
    </row>
    <row r="143" spans="1:32" x14ac:dyDescent="0.3">
      <c r="A143" t="s">
        <v>12</v>
      </c>
      <c r="B143" t="s">
        <v>15</v>
      </c>
      <c r="D143" t="s">
        <v>485</v>
      </c>
      <c r="G143" s="11"/>
      <c r="H143" s="11"/>
      <c r="I143" s="11"/>
      <c r="J143" s="11">
        <f>RecetteTransport2[[#All],[Fibres TC NOK]]</f>
        <v>0</v>
      </c>
      <c r="K143" s="50">
        <f>RecetteTransport2[[#All],[Valeur Critique]]</f>
        <v>0</v>
      </c>
      <c r="L143" s="50">
        <f t="shared" si="8"/>
        <v>0</v>
      </c>
      <c r="P143" s="11">
        <f xml:space="preserve"> _xlfn.ISOWEEKNUM(RecetteTransport2[[#This Row],[Date validation Optique]])</f>
        <v>52</v>
      </c>
      <c r="Q143" s="11">
        <f>YEAR(RecetteTransport2[[#This Row],[Date validation Optique]])</f>
        <v>1900</v>
      </c>
      <c r="S143" s="47" t="e">
        <f>#REF!+10</f>
        <v>#REF!</v>
      </c>
      <c r="T143" s="50" t="e">
        <f>_xlfn.ISOWEEKNUM(RecetteTransport2[[#This Row],[Date Achevement  Mécanique]])</f>
        <v>#REF!</v>
      </c>
      <c r="U143" s="50" t="e">
        <f>YEAR(RecetteTransport2[[#This Row],[Date Achevement  Mécanique]])</f>
        <v>#REF!</v>
      </c>
      <c r="V143" s="47"/>
      <c r="W143" s="50">
        <f>_xlfn.ISOWEEKNUM(RecetteTransport2[[#This Row],[Date de mesure]])</f>
        <v>52</v>
      </c>
      <c r="X143" s="11">
        <f>YEAR(RecetteTransport2[[#This Row],[Date de mesure]])</f>
        <v>1900</v>
      </c>
      <c r="Y143" s="47"/>
      <c r="Z143" s="50">
        <f>_xlfn.ISOWEEKNUM(RecetteTransport2[[#This Row],[Date envoie dossier mesure]])</f>
        <v>52</v>
      </c>
      <c r="AA143" s="50">
        <f>YEAR(RecetteTransport2[[#This Row],[Date envoie dossier mesure]])</f>
        <v>1900</v>
      </c>
      <c r="AB143" s="11"/>
      <c r="AC143" s="11"/>
      <c r="AE143" s="6" t="e">
        <f>RecetteTransport2[[#All],[Nb de reprises Optiques]]/#REF!</f>
        <v>#REF!</v>
      </c>
      <c r="AF143" s="6"/>
    </row>
    <row r="144" spans="1:32" x14ac:dyDescent="0.3">
      <c r="A144" t="s">
        <v>12</v>
      </c>
      <c r="B144" t="s">
        <v>15</v>
      </c>
      <c r="D144" t="s">
        <v>486</v>
      </c>
      <c r="G144" s="11"/>
      <c r="H144" s="11"/>
      <c r="I144" s="11"/>
      <c r="J144" s="11">
        <f>RecetteTransport2[[#All],[Fibres TC NOK]]</f>
        <v>0</v>
      </c>
      <c r="K144" s="50">
        <f>RecetteTransport2[[#All],[Valeur Critique]]</f>
        <v>0</v>
      </c>
      <c r="L144" s="50">
        <f t="shared" si="8"/>
        <v>0</v>
      </c>
      <c r="P144" s="11">
        <f xml:space="preserve"> _xlfn.ISOWEEKNUM(RecetteTransport2[[#This Row],[Date validation Optique]])</f>
        <v>52</v>
      </c>
      <c r="Q144" s="11">
        <f>YEAR(RecetteTransport2[[#This Row],[Date validation Optique]])</f>
        <v>1900</v>
      </c>
      <c r="S144" s="47" t="e">
        <f>#REF!+10</f>
        <v>#REF!</v>
      </c>
      <c r="T144" s="50" t="e">
        <f>_xlfn.ISOWEEKNUM(RecetteTransport2[[#This Row],[Date Achevement  Mécanique]])</f>
        <v>#REF!</v>
      </c>
      <c r="U144" s="50" t="e">
        <f>YEAR(RecetteTransport2[[#This Row],[Date Achevement  Mécanique]])</f>
        <v>#REF!</v>
      </c>
      <c r="V144" s="47"/>
      <c r="W144" s="50">
        <f>_xlfn.ISOWEEKNUM(RecetteTransport2[[#This Row],[Date de mesure]])</f>
        <v>52</v>
      </c>
      <c r="X144" s="11">
        <f>YEAR(RecetteTransport2[[#This Row],[Date de mesure]])</f>
        <v>1900</v>
      </c>
      <c r="Y144" s="47"/>
      <c r="Z144" s="50">
        <f>_xlfn.ISOWEEKNUM(RecetteTransport2[[#This Row],[Date envoie dossier mesure]])</f>
        <v>52</v>
      </c>
      <c r="AA144" s="50">
        <f>YEAR(RecetteTransport2[[#This Row],[Date envoie dossier mesure]])</f>
        <v>1900</v>
      </c>
      <c r="AB144" s="11"/>
      <c r="AC144" s="11"/>
      <c r="AE144" s="6" t="e">
        <f>RecetteTransport2[[#All],[Nb de reprises Optiques]]/#REF!</f>
        <v>#REF!</v>
      </c>
      <c r="AF144" s="6"/>
    </row>
    <row r="145" spans="1:32" x14ac:dyDescent="0.3">
      <c r="A145" t="s">
        <v>12</v>
      </c>
      <c r="D145" t="s">
        <v>487</v>
      </c>
      <c r="G145" s="11"/>
      <c r="H145" s="11"/>
      <c r="I145" s="11"/>
      <c r="J145" s="11">
        <f>RecetteTransport2[[#All],[Fibres TC NOK]]</f>
        <v>0</v>
      </c>
      <c r="K145" s="50">
        <f>RecetteTransport2[[#All],[Valeur Critique]]</f>
        <v>0</v>
      </c>
      <c r="L145" s="50">
        <f t="shared" si="8"/>
        <v>0</v>
      </c>
      <c r="P145" s="11">
        <f xml:space="preserve"> _xlfn.ISOWEEKNUM(RecetteTransport2[[#This Row],[Date validation Optique]])</f>
        <v>52</v>
      </c>
      <c r="Q145" s="11">
        <f>YEAR(RecetteTransport2[[#This Row],[Date validation Optique]])</f>
        <v>1900</v>
      </c>
      <c r="S145" s="47" t="e">
        <f>#REF!+10</f>
        <v>#REF!</v>
      </c>
      <c r="T145" s="50" t="e">
        <f>_xlfn.ISOWEEKNUM(RecetteTransport2[[#This Row],[Date Achevement  Mécanique]])</f>
        <v>#REF!</v>
      </c>
      <c r="U145" s="50" t="e">
        <f>YEAR(RecetteTransport2[[#This Row],[Date Achevement  Mécanique]])</f>
        <v>#REF!</v>
      </c>
      <c r="V145" s="47"/>
      <c r="W145" s="50">
        <f>_xlfn.ISOWEEKNUM(RecetteTransport2[[#This Row],[Date de mesure]])</f>
        <v>52</v>
      </c>
      <c r="X145" s="11">
        <f>YEAR(RecetteTransport2[[#This Row],[Date de mesure]])</f>
        <v>1900</v>
      </c>
      <c r="Y145" s="47"/>
      <c r="Z145" s="50">
        <f>_xlfn.ISOWEEKNUM(RecetteTransport2[[#This Row],[Date envoie dossier mesure]])</f>
        <v>52</v>
      </c>
      <c r="AA145" s="50">
        <f>YEAR(RecetteTransport2[[#This Row],[Date envoie dossier mesure]])</f>
        <v>1900</v>
      </c>
      <c r="AB145" s="11"/>
      <c r="AC145" s="11"/>
      <c r="AE145" s="6" t="e">
        <f>RecetteTransport2[[#All],[Nb de reprises Optiques]]/#REF!</f>
        <v>#REF!</v>
      </c>
      <c r="AF145" s="6"/>
    </row>
    <row r="146" spans="1:32" x14ac:dyDescent="0.3">
      <c r="A146" t="s">
        <v>12</v>
      </c>
      <c r="D146" t="s">
        <v>488</v>
      </c>
      <c r="G146" s="11"/>
      <c r="H146" s="11"/>
      <c r="I146" s="11"/>
      <c r="J146" s="11">
        <f>RecetteTransport2[[#All],[Fibres TC NOK]]</f>
        <v>0</v>
      </c>
      <c r="K146" s="50">
        <f>RecetteTransport2[[#All],[Valeur Critique]]</f>
        <v>0</v>
      </c>
      <c r="L146" s="50">
        <f t="shared" si="8"/>
        <v>0</v>
      </c>
      <c r="P146" s="11">
        <f xml:space="preserve"> _xlfn.ISOWEEKNUM(RecetteTransport2[[#This Row],[Date validation Optique]])</f>
        <v>52</v>
      </c>
      <c r="Q146" s="11">
        <f>YEAR(RecetteTransport2[[#This Row],[Date validation Optique]])</f>
        <v>1900</v>
      </c>
      <c r="S146" s="47" t="e">
        <f>#REF!+10</f>
        <v>#REF!</v>
      </c>
      <c r="T146" s="50" t="e">
        <f>_xlfn.ISOWEEKNUM(RecetteTransport2[[#This Row],[Date Achevement  Mécanique]])</f>
        <v>#REF!</v>
      </c>
      <c r="U146" s="50" t="e">
        <f>YEAR(RecetteTransport2[[#This Row],[Date Achevement  Mécanique]])</f>
        <v>#REF!</v>
      </c>
      <c r="V146" s="47"/>
      <c r="W146" s="50">
        <f>_xlfn.ISOWEEKNUM(RecetteTransport2[[#This Row],[Date de mesure]])</f>
        <v>52</v>
      </c>
      <c r="X146" s="11">
        <f>YEAR(RecetteTransport2[[#This Row],[Date de mesure]])</f>
        <v>1900</v>
      </c>
      <c r="Y146" s="47"/>
      <c r="Z146" s="50">
        <f>_xlfn.ISOWEEKNUM(RecetteTransport2[[#This Row],[Date envoie dossier mesure]])</f>
        <v>52</v>
      </c>
      <c r="AA146" s="50">
        <f>YEAR(RecetteTransport2[[#This Row],[Date envoie dossier mesure]])</f>
        <v>1900</v>
      </c>
      <c r="AB146" s="11"/>
      <c r="AC146" s="11"/>
      <c r="AE146" s="6" t="e">
        <f>RecetteTransport2[[#All],[Nb de reprises Optiques]]/#REF!</f>
        <v>#REF!</v>
      </c>
      <c r="AF146" s="6"/>
    </row>
    <row r="147" spans="1:32" x14ac:dyDescent="0.3">
      <c r="A147" t="s">
        <v>12</v>
      </c>
      <c r="D147" t="s">
        <v>489</v>
      </c>
      <c r="G147" s="11"/>
      <c r="H147" s="11"/>
      <c r="I147" s="11"/>
      <c r="J147" s="11">
        <f>RecetteTransport2[[#All],[Fibres TC NOK]]</f>
        <v>0</v>
      </c>
      <c r="K147" s="50">
        <f>RecetteTransport2[[#All],[Valeur Critique]]</f>
        <v>0</v>
      </c>
      <c r="L147" s="50">
        <f t="shared" si="8"/>
        <v>0</v>
      </c>
      <c r="P147" s="11">
        <f xml:space="preserve"> _xlfn.ISOWEEKNUM(RecetteTransport2[[#This Row],[Date validation Optique]])</f>
        <v>52</v>
      </c>
      <c r="Q147" s="11">
        <f>YEAR(RecetteTransport2[[#This Row],[Date validation Optique]])</f>
        <v>1900</v>
      </c>
      <c r="S147" s="47" t="e">
        <f>#REF!+10</f>
        <v>#REF!</v>
      </c>
      <c r="T147" s="50" t="e">
        <f>_xlfn.ISOWEEKNUM(RecetteTransport2[[#This Row],[Date Achevement  Mécanique]])</f>
        <v>#REF!</v>
      </c>
      <c r="U147" s="50" t="e">
        <f>YEAR(RecetteTransport2[[#This Row],[Date Achevement  Mécanique]])</f>
        <v>#REF!</v>
      </c>
      <c r="V147" s="47"/>
      <c r="W147" s="50">
        <f>_xlfn.ISOWEEKNUM(RecetteTransport2[[#This Row],[Date de mesure]])</f>
        <v>52</v>
      </c>
      <c r="X147" s="11">
        <f>YEAR(RecetteTransport2[[#This Row],[Date de mesure]])</f>
        <v>1900</v>
      </c>
      <c r="Y147" s="47"/>
      <c r="Z147" s="50">
        <f>_xlfn.ISOWEEKNUM(RecetteTransport2[[#This Row],[Date envoie dossier mesure]])</f>
        <v>52</v>
      </c>
      <c r="AA147" s="50">
        <f>YEAR(RecetteTransport2[[#This Row],[Date envoie dossier mesure]])</f>
        <v>1900</v>
      </c>
      <c r="AB147" s="11"/>
      <c r="AC147" s="11"/>
      <c r="AE147" s="6" t="e">
        <f>RecetteTransport2[[#All],[Nb de reprises Optiques]]/#REF!</f>
        <v>#REF!</v>
      </c>
      <c r="AF147" s="6"/>
    </row>
    <row r="148" spans="1:32" x14ac:dyDescent="0.3">
      <c r="A148" t="s">
        <v>12</v>
      </c>
      <c r="D148" t="s">
        <v>490</v>
      </c>
      <c r="G148" s="11"/>
      <c r="H148" s="11"/>
      <c r="I148" s="11"/>
      <c r="J148" s="11">
        <f>RecetteTransport2[[#All],[Fibres TC NOK]]</f>
        <v>0</v>
      </c>
      <c r="K148" s="50">
        <f>RecetteTransport2[[#All],[Valeur Critique]]</f>
        <v>0</v>
      </c>
      <c r="L148" s="50">
        <f t="shared" si="8"/>
        <v>0</v>
      </c>
      <c r="P148" s="11">
        <f xml:space="preserve"> _xlfn.ISOWEEKNUM(RecetteTransport2[[#This Row],[Date validation Optique]])</f>
        <v>52</v>
      </c>
      <c r="Q148" s="11">
        <f>YEAR(RecetteTransport2[[#This Row],[Date validation Optique]])</f>
        <v>1900</v>
      </c>
      <c r="S148" s="47" t="e">
        <f>#REF!+10</f>
        <v>#REF!</v>
      </c>
      <c r="T148" s="50" t="e">
        <f>_xlfn.ISOWEEKNUM(RecetteTransport2[[#This Row],[Date Achevement  Mécanique]])</f>
        <v>#REF!</v>
      </c>
      <c r="U148" s="50" t="e">
        <f>YEAR(RecetteTransport2[[#This Row],[Date Achevement  Mécanique]])</f>
        <v>#REF!</v>
      </c>
      <c r="V148" s="47"/>
      <c r="W148" s="50">
        <f>_xlfn.ISOWEEKNUM(RecetteTransport2[[#This Row],[Date de mesure]])</f>
        <v>52</v>
      </c>
      <c r="X148" s="11">
        <f>YEAR(RecetteTransport2[[#This Row],[Date de mesure]])</f>
        <v>1900</v>
      </c>
      <c r="Y148" s="47"/>
      <c r="Z148" s="50">
        <f>_xlfn.ISOWEEKNUM(RecetteTransport2[[#This Row],[Date envoie dossier mesure]])</f>
        <v>52</v>
      </c>
      <c r="AA148" s="50">
        <f>YEAR(RecetteTransport2[[#This Row],[Date envoie dossier mesure]])</f>
        <v>1900</v>
      </c>
      <c r="AB148" s="11"/>
      <c r="AC148" s="11"/>
      <c r="AE148" s="6" t="e">
        <f>RecetteTransport2[[#All],[Nb de reprises Optiques]]/#REF!</f>
        <v>#REF!</v>
      </c>
      <c r="AF148" s="6"/>
    </row>
    <row r="149" spans="1:32" x14ac:dyDescent="0.3">
      <c r="A149" t="s">
        <v>12</v>
      </c>
      <c r="D149" t="s">
        <v>491</v>
      </c>
      <c r="G149" s="11"/>
      <c r="H149" s="11"/>
      <c r="I149" s="11"/>
      <c r="J149" s="11">
        <f>RecetteTransport2[[#All],[Fibres TC NOK]]</f>
        <v>0</v>
      </c>
      <c r="K149" s="50">
        <f>RecetteTransport2[[#All],[Valeur Critique]]</f>
        <v>0</v>
      </c>
      <c r="L149" s="50">
        <f t="shared" si="8"/>
        <v>0</v>
      </c>
      <c r="P149" s="11">
        <f xml:space="preserve"> _xlfn.ISOWEEKNUM(RecetteTransport2[[#This Row],[Date validation Optique]])</f>
        <v>52</v>
      </c>
      <c r="Q149" s="11">
        <f>YEAR(RecetteTransport2[[#This Row],[Date validation Optique]])</f>
        <v>1900</v>
      </c>
      <c r="S149" s="47" t="e">
        <f>#REF!+10</f>
        <v>#REF!</v>
      </c>
      <c r="T149" s="50" t="e">
        <f>_xlfn.ISOWEEKNUM(RecetteTransport2[[#This Row],[Date Achevement  Mécanique]])</f>
        <v>#REF!</v>
      </c>
      <c r="U149" s="50" t="e">
        <f>YEAR(RecetteTransport2[[#This Row],[Date Achevement  Mécanique]])</f>
        <v>#REF!</v>
      </c>
      <c r="V149" s="47"/>
      <c r="W149" s="50">
        <f>_xlfn.ISOWEEKNUM(RecetteTransport2[[#This Row],[Date de mesure]])</f>
        <v>52</v>
      </c>
      <c r="X149" s="11">
        <f>YEAR(RecetteTransport2[[#This Row],[Date de mesure]])</f>
        <v>1900</v>
      </c>
      <c r="Y149" s="47"/>
      <c r="Z149" s="50">
        <f>_xlfn.ISOWEEKNUM(RecetteTransport2[[#This Row],[Date envoie dossier mesure]])</f>
        <v>52</v>
      </c>
      <c r="AA149" s="50">
        <f>YEAR(RecetteTransport2[[#This Row],[Date envoie dossier mesure]])</f>
        <v>1900</v>
      </c>
      <c r="AB149" s="11"/>
      <c r="AC149" s="11"/>
      <c r="AE149" s="6" t="e">
        <f>RecetteTransport2[[#All],[Nb de reprises Optiques]]/#REF!</f>
        <v>#REF!</v>
      </c>
      <c r="AF149" s="6"/>
    </row>
    <row r="150" spans="1:32" x14ac:dyDescent="0.3">
      <c r="A150" t="s">
        <v>12</v>
      </c>
      <c r="D150" t="s">
        <v>492</v>
      </c>
      <c r="G150" s="11"/>
      <c r="H150" s="11"/>
      <c r="I150" s="11"/>
      <c r="J150" s="11">
        <f>RecetteTransport2[[#All],[Fibres TC NOK]]</f>
        <v>0</v>
      </c>
      <c r="K150" s="50">
        <f>RecetteTransport2[[#All],[Valeur Critique]]</f>
        <v>0</v>
      </c>
      <c r="L150" s="50">
        <f t="shared" si="8"/>
        <v>0</v>
      </c>
      <c r="P150" s="11">
        <f xml:space="preserve"> _xlfn.ISOWEEKNUM(RecetteTransport2[[#This Row],[Date validation Optique]])</f>
        <v>52</v>
      </c>
      <c r="Q150" s="11">
        <f>YEAR(RecetteTransport2[[#This Row],[Date validation Optique]])</f>
        <v>1900</v>
      </c>
      <c r="S150" s="47" t="e">
        <f>#REF!+10</f>
        <v>#REF!</v>
      </c>
      <c r="T150" s="50" t="e">
        <f>_xlfn.ISOWEEKNUM(RecetteTransport2[[#This Row],[Date Achevement  Mécanique]])</f>
        <v>#REF!</v>
      </c>
      <c r="U150" s="50" t="e">
        <f>YEAR(RecetteTransport2[[#This Row],[Date Achevement  Mécanique]])</f>
        <v>#REF!</v>
      </c>
      <c r="V150" s="47"/>
      <c r="W150" s="50">
        <f>_xlfn.ISOWEEKNUM(RecetteTransport2[[#This Row],[Date de mesure]])</f>
        <v>52</v>
      </c>
      <c r="X150" s="11">
        <f>YEAR(RecetteTransport2[[#This Row],[Date de mesure]])</f>
        <v>1900</v>
      </c>
      <c r="Y150" s="47"/>
      <c r="Z150" s="50">
        <f>_xlfn.ISOWEEKNUM(RecetteTransport2[[#This Row],[Date envoie dossier mesure]])</f>
        <v>52</v>
      </c>
      <c r="AA150" s="50">
        <f>YEAR(RecetteTransport2[[#This Row],[Date envoie dossier mesure]])</f>
        <v>1900</v>
      </c>
      <c r="AB150" s="11"/>
      <c r="AC150" s="11"/>
      <c r="AE150" s="6" t="e">
        <f>RecetteTransport2[[#All],[Nb de reprises Optiques]]/#REF!</f>
        <v>#REF!</v>
      </c>
      <c r="AF150" s="6"/>
    </row>
    <row r="151" spans="1:32" x14ac:dyDescent="0.3">
      <c r="A151" t="s">
        <v>12</v>
      </c>
      <c r="D151" t="s">
        <v>493</v>
      </c>
      <c r="G151" s="11"/>
      <c r="H151" s="11"/>
      <c r="I151" s="11"/>
      <c r="J151" s="11">
        <f>RecetteTransport2[[#All],[Fibres TC NOK]]</f>
        <v>0</v>
      </c>
      <c r="K151" s="50">
        <f>RecetteTransport2[[#All],[Valeur Critique]]</f>
        <v>0</v>
      </c>
      <c r="L151" s="50">
        <f t="shared" si="8"/>
        <v>0</v>
      </c>
      <c r="P151" s="11">
        <f xml:space="preserve"> _xlfn.ISOWEEKNUM(RecetteTransport2[[#This Row],[Date validation Optique]])</f>
        <v>52</v>
      </c>
      <c r="Q151" s="11">
        <f>YEAR(RecetteTransport2[[#This Row],[Date validation Optique]])</f>
        <v>1900</v>
      </c>
      <c r="S151" s="47" t="e">
        <f>#REF!+10</f>
        <v>#REF!</v>
      </c>
      <c r="T151" s="50" t="e">
        <f>_xlfn.ISOWEEKNUM(RecetteTransport2[[#This Row],[Date Achevement  Mécanique]])</f>
        <v>#REF!</v>
      </c>
      <c r="U151" s="50" t="e">
        <f>YEAR(RecetteTransport2[[#This Row],[Date Achevement  Mécanique]])</f>
        <v>#REF!</v>
      </c>
      <c r="V151" s="47"/>
      <c r="W151" s="50">
        <f>_xlfn.ISOWEEKNUM(RecetteTransport2[[#This Row],[Date de mesure]])</f>
        <v>52</v>
      </c>
      <c r="X151" s="11">
        <f>YEAR(RecetteTransport2[[#This Row],[Date de mesure]])</f>
        <v>1900</v>
      </c>
      <c r="Y151" s="47"/>
      <c r="Z151" s="50">
        <f>_xlfn.ISOWEEKNUM(RecetteTransport2[[#This Row],[Date envoie dossier mesure]])</f>
        <v>52</v>
      </c>
      <c r="AA151" s="50">
        <f>YEAR(RecetteTransport2[[#This Row],[Date envoie dossier mesure]])</f>
        <v>1900</v>
      </c>
      <c r="AB151" s="11"/>
      <c r="AC151" s="11"/>
      <c r="AE151" s="6" t="e">
        <f>RecetteTransport2[[#All],[Nb de reprises Optiques]]/#REF!</f>
        <v>#REF!</v>
      </c>
      <c r="AF151" s="6"/>
    </row>
    <row r="152" spans="1:32" x14ac:dyDescent="0.3">
      <c r="A152" t="s">
        <v>12</v>
      </c>
      <c r="D152" t="s">
        <v>494</v>
      </c>
      <c r="G152" s="11"/>
      <c r="H152" s="11"/>
      <c r="I152" s="11"/>
      <c r="J152" s="11">
        <f>RecetteTransport2[[#All],[Fibres TC NOK]]</f>
        <v>0</v>
      </c>
      <c r="K152" s="50">
        <f>RecetteTransport2[[#All],[Valeur Critique]]</f>
        <v>0</v>
      </c>
      <c r="L152" s="50">
        <f t="shared" si="8"/>
        <v>0</v>
      </c>
      <c r="P152" s="11">
        <f xml:space="preserve"> _xlfn.ISOWEEKNUM(RecetteTransport2[[#This Row],[Date validation Optique]])</f>
        <v>52</v>
      </c>
      <c r="Q152" s="11">
        <f>YEAR(RecetteTransport2[[#This Row],[Date validation Optique]])</f>
        <v>1900</v>
      </c>
      <c r="S152" s="47" t="e">
        <f>#REF!+10</f>
        <v>#REF!</v>
      </c>
      <c r="T152" s="50" t="e">
        <f>_xlfn.ISOWEEKNUM(RecetteTransport2[[#This Row],[Date Achevement  Mécanique]])</f>
        <v>#REF!</v>
      </c>
      <c r="U152" s="50" t="e">
        <f>YEAR(RecetteTransport2[[#This Row],[Date Achevement  Mécanique]])</f>
        <v>#REF!</v>
      </c>
      <c r="V152" s="47"/>
      <c r="W152" s="50">
        <f>_xlfn.ISOWEEKNUM(RecetteTransport2[[#This Row],[Date de mesure]])</f>
        <v>52</v>
      </c>
      <c r="X152" s="11">
        <f>YEAR(RecetteTransport2[[#This Row],[Date de mesure]])</f>
        <v>1900</v>
      </c>
      <c r="Y152" s="47"/>
      <c r="Z152" s="50">
        <f>_xlfn.ISOWEEKNUM(RecetteTransport2[[#This Row],[Date envoie dossier mesure]])</f>
        <v>52</v>
      </c>
      <c r="AA152" s="50">
        <f>YEAR(RecetteTransport2[[#This Row],[Date envoie dossier mesure]])</f>
        <v>1900</v>
      </c>
      <c r="AB152" s="11"/>
      <c r="AC152" s="11"/>
      <c r="AE152" s="6" t="e">
        <f>RecetteTransport2[[#All],[Nb de reprises Optiques]]/#REF!</f>
        <v>#REF!</v>
      </c>
      <c r="AF152" s="6"/>
    </row>
    <row r="153" spans="1:32" hidden="1" x14ac:dyDescent="0.3">
      <c r="A153" t="s">
        <v>12</v>
      </c>
      <c r="B153" t="s">
        <v>20</v>
      </c>
      <c r="C153" t="s">
        <v>44</v>
      </c>
      <c r="D153" t="s">
        <v>23</v>
      </c>
      <c r="G153" s="11"/>
      <c r="H153" s="11" t="s">
        <v>29</v>
      </c>
      <c r="I153" s="11" t="s">
        <v>29</v>
      </c>
      <c r="J153" s="11">
        <f>RecetteTransport2[[#All],[Fibres TC NOK]]</f>
        <v>6</v>
      </c>
      <c r="K153" s="50">
        <f>RecetteTransport2[[#All],[Valeur Critique]]</f>
        <v>19</v>
      </c>
      <c r="L153" s="50">
        <f>AD:AD</f>
        <v>83</v>
      </c>
      <c r="N153" t="s">
        <v>65</v>
      </c>
      <c r="P153">
        <f xml:space="preserve"> _xlfn.ISOWEEKNUM(RecetteTransport2[[#This Row],[Date validation Optique]])</f>
        <v>52</v>
      </c>
      <c r="Q153">
        <f>YEAR(RecetteTransport2[[#This Row],[Date validation Optique]])</f>
        <v>1900</v>
      </c>
      <c r="T153" s="50">
        <f>_xlfn.ISOWEEKNUM(RecetteTransport2[[#This Row],[Date Achevement  Mécanique]])</f>
        <v>52</v>
      </c>
      <c r="U153" s="50">
        <f>YEAR(RecetteTransport2[[#This Row],[Date Achevement  Mécanique]])</f>
        <v>1900</v>
      </c>
      <c r="V153" s="2"/>
      <c r="W153" s="50">
        <f>_xlfn.ISOWEEKNUM(RecetteTransport2[[#This Row],[Date de mesure]])</f>
        <v>52</v>
      </c>
      <c r="X153" s="11">
        <f>YEAR(RecetteTransport2[[#This Row],[Date de mesure]])</f>
        <v>1900</v>
      </c>
      <c r="Y153" s="2">
        <v>44036</v>
      </c>
      <c r="Z153" s="50">
        <f>_xlfn.ISOWEEKNUM(RecetteTransport2[[#This Row],[Date envoie dossier mesure]])</f>
        <v>30</v>
      </c>
      <c r="AA153" s="50">
        <f>YEAR(RecetteTransport2[[#This Row],[Date envoie dossier mesure]])</f>
        <v>2020</v>
      </c>
      <c r="AB153" s="11">
        <v>6</v>
      </c>
      <c r="AC153" s="11">
        <v>19</v>
      </c>
      <c r="AD153" s="50">
        <v>83</v>
      </c>
      <c r="AE153" s="6" t="e">
        <f>RecetteTransport2[[#All],[Nb de reprises Optiques]]/#REF!</f>
        <v>#REF!</v>
      </c>
      <c r="AF153" s="6"/>
    </row>
    <row r="154" spans="1:32" hidden="1" x14ac:dyDescent="0.3">
      <c r="A154" t="s">
        <v>12</v>
      </c>
      <c r="B154" t="s">
        <v>20</v>
      </c>
      <c r="C154" t="s">
        <v>44</v>
      </c>
      <c r="D154" t="s">
        <v>308</v>
      </c>
      <c r="G154" s="11"/>
      <c r="H154" s="11" t="s">
        <v>29</v>
      </c>
      <c r="I154" s="11" t="s">
        <v>29</v>
      </c>
      <c r="J154" s="11">
        <f>RecetteTransport2[[#All],[Fibres TC NOK]]</f>
        <v>2</v>
      </c>
      <c r="K154" s="50">
        <f>RecetteTransport2[[#All],[Valeur Critique]]</f>
        <v>0</v>
      </c>
      <c r="L154" s="50">
        <f>AD:AD</f>
        <v>19</v>
      </c>
      <c r="N154" t="s">
        <v>65</v>
      </c>
      <c r="P154">
        <f xml:space="preserve"> _xlfn.ISOWEEKNUM(RecetteTransport2[[#This Row],[Date validation Optique]])</f>
        <v>52</v>
      </c>
      <c r="Q154">
        <f>YEAR(RecetteTransport2[[#This Row],[Date validation Optique]])</f>
        <v>1900</v>
      </c>
      <c r="T154" s="50">
        <f>_xlfn.ISOWEEKNUM(RecetteTransport2[[#This Row],[Date Achevement  Mécanique]])</f>
        <v>52</v>
      </c>
      <c r="U154" s="50">
        <f>YEAR(RecetteTransport2[[#This Row],[Date Achevement  Mécanique]])</f>
        <v>1900</v>
      </c>
      <c r="V154" s="2"/>
      <c r="W154" s="50">
        <f>_xlfn.ISOWEEKNUM(RecetteTransport2[[#This Row],[Date de mesure]])</f>
        <v>52</v>
      </c>
      <c r="X154" s="11">
        <f>YEAR(RecetteTransport2[[#This Row],[Date de mesure]])</f>
        <v>1900</v>
      </c>
      <c r="Y154" s="2">
        <v>44221</v>
      </c>
      <c r="Z154" s="50">
        <f>_xlfn.ISOWEEKNUM(RecetteTransport2[[#This Row],[Date envoie dossier mesure]])</f>
        <v>4</v>
      </c>
      <c r="AA154" s="50">
        <f>YEAR(RecetteTransport2[[#This Row],[Date envoie dossier mesure]])</f>
        <v>2021</v>
      </c>
      <c r="AB154" s="11">
        <v>2</v>
      </c>
      <c r="AC154" s="11">
        <v>0</v>
      </c>
      <c r="AD154" s="50">
        <v>19</v>
      </c>
      <c r="AE154" s="6" t="e">
        <f>RecetteTransport2[[#All],[Nb de reprises Optiques]]/#REF!</f>
        <v>#REF!</v>
      </c>
      <c r="AF154" s="6"/>
    </row>
    <row r="155" spans="1:32" hidden="1" x14ac:dyDescent="0.3">
      <c r="A155" t="s">
        <v>12</v>
      </c>
      <c r="B155" t="s">
        <v>20</v>
      </c>
      <c r="C155" t="s">
        <v>44</v>
      </c>
      <c r="D155" t="s">
        <v>309</v>
      </c>
      <c r="G155" s="11"/>
      <c r="H155" s="11" t="s">
        <v>29</v>
      </c>
      <c r="I155" s="11" t="s">
        <v>29</v>
      </c>
      <c r="J155" s="11">
        <f>RecetteTransport2[[#All],[Fibres TC NOK]]</f>
        <v>0</v>
      </c>
      <c r="K155" s="50">
        <f>RecetteTransport2[[#All],[Valeur Critique]]</f>
        <v>0</v>
      </c>
      <c r="L155" s="50">
        <f>AD:AD</f>
        <v>33</v>
      </c>
      <c r="N155" t="s">
        <v>65</v>
      </c>
      <c r="P155">
        <f xml:space="preserve"> _xlfn.ISOWEEKNUM(RecetteTransport2[[#This Row],[Date validation Optique]])</f>
        <v>52</v>
      </c>
      <c r="Q155">
        <f>YEAR(RecetteTransport2[[#This Row],[Date validation Optique]])</f>
        <v>1900</v>
      </c>
      <c r="T155" s="50">
        <f>_xlfn.ISOWEEKNUM(RecetteTransport2[[#This Row],[Date Achevement  Mécanique]])</f>
        <v>52</v>
      </c>
      <c r="U155" s="50">
        <f>YEAR(RecetteTransport2[[#This Row],[Date Achevement  Mécanique]])</f>
        <v>1900</v>
      </c>
      <c r="V155" s="2"/>
      <c r="W155" s="50">
        <f>_xlfn.ISOWEEKNUM(RecetteTransport2[[#This Row],[Date de mesure]])</f>
        <v>52</v>
      </c>
      <c r="X155" s="11">
        <f>YEAR(RecetteTransport2[[#This Row],[Date de mesure]])</f>
        <v>1900</v>
      </c>
      <c r="Y155" s="2">
        <v>44221</v>
      </c>
      <c r="Z155" s="50">
        <f>_xlfn.ISOWEEKNUM(RecetteTransport2[[#This Row],[Date envoie dossier mesure]])</f>
        <v>4</v>
      </c>
      <c r="AA155" s="50">
        <f>YEAR(RecetteTransport2[[#This Row],[Date envoie dossier mesure]])</f>
        <v>2021</v>
      </c>
      <c r="AB155" s="11">
        <v>0</v>
      </c>
      <c r="AC155" s="11">
        <v>0</v>
      </c>
      <c r="AD155" s="50">
        <v>33</v>
      </c>
      <c r="AE155" s="6" t="e">
        <f>RecetteTransport2[[#All],[Nb de reprises Optiques]]/#REF!</f>
        <v>#REF!</v>
      </c>
      <c r="AF155" s="6"/>
    </row>
    <row r="156" spans="1:32" hidden="1" x14ac:dyDescent="0.3">
      <c r="A156" t="s">
        <v>12</v>
      </c>
      <c r="B156" t="s">
        <v>20</v>
      </c>
      <c r="C156" t="s">
        <v>44</v>
      </c>
      <c r="D156" t="s">
        <v>142</v>
      </c>
      <c r="G156" s="11"/>
      <c r="H156" s="11" t="s">
        <v>29</v>
      </c>
      <c r="I156" s="11" t="s">
        <v>29</v>
      </c>
      <c r="J156" s="11">
        <f>RecetteTransport2[[#All],[Fibres TC NOK]]</f>
        <v>11</v>
      </c>
      <c r="K156" s="50">
        <f>RecetteTransport2[[#All],[Valeur Critique]]</f>
        <v>2</v>
      </c>
      <c r="L156" s="50">
        <f>AD:AD</f>
        <v>49</v>
      </c>
      <c r="N156" t="s">
        <v>65</v>
      </c>
      <c r="P156">
        <f xml:space="preserve"> _xlfn.ISOWEEKNUM(RecetteTransport2[[#This Row],[Date validation Optique]])</f>
        <v>52</v>
      </c>
      <c r="Q156">
        <f>YEAR(RecetteTransport2[[#This Row],[Date validation Optique]])</f>
        <v>1900</v>
      </c>
      <c r="T156" s="50">
        <f>_xlfn.ISOWEEKNUM(RecetteTransport2[[#This Row],[Date Achevement  Mécanique]])</f>
        <v>52</v>
      </c>
      <c r="U156" s="50">
        <f>YEAR(RecetteTransport2[[#This Row],[Date Achevement  Mécanique]])</f>
        <v>1900</v>
      </c>
      <c r="V156" s="2"/>
      <c r="W156" s="50">
        <f>_xlfn.ISOWEEKNUM(RecetteTransport2[[#This Row],[Date de mesure]])</f>
        <v>52</v>
      </c>
      <c r="X156" s="11">
        <f>YEAR(RecetteTransport2[[#This Row],[Date de mesure]])</f>
        <v>1900</v>
      </c>
      <c r="Z156" s="50">
        <f>_xlfn.ISOWEEKNUM(RecetteTransport2[[#This Row],[Date envoie dossier mesure]])</f>
        <v>52</v>
      </c>
      <c r="AA156" s="50">
        <f>YEAR(RecetteTransport2[[#This Row],[Date envoie dossier mesure]])</f>
        <v>1900</v>
      </c>
      <c r="AB156" s="11">
        <v>11</v>
      </c>
      <c r="AC156" s="11">
        <v>2</v>
      </c>
      <c r="AD156" s="50">
        <v>49</v>
      </c>
      <c r="AE156" s="6" t="e">
        <f>RecetteTransport2[[#All],[Nb de reprises Optiques]]/#REF!</f>
        <v>#REF!</v>
      </c>
      <c r="AF156" s="6"/>
    </row>
    <row r="157" spans="1:32" hidden="1" x14ac:dyDescent="0.3">
      <c r="A157" t="s">
        <v>12</v>
      </c>
      <c r="B157" t="s">
        <v>20</v>
      </c>
      <c r="C157" t="s">
        <v>44</v>
      </c>
      <c r="D157" t="s">
        <v>322</v>
      </c>
      <c r="G157" s="11"/>
      <c r="H157" s="11" t="s">
        <v>29</v>
      </c>
      <c r="I157" s="11" t="s">
        <v>29</v>
      </c>
      <c r="J157" s="11">
        <f>RecetteTransport2[[#All],[Fibres TC NOK]]</f>
        <v>0</v>
      </c>
      <c r="K157" s="50">
        <f>RecetteTransport2[[#All],[Valeur Critique]]</f>
        <v>0</v>
      </c>
      <c r="L157" s="50">
        <f>AD:AD</f>
        <v>8</v>
      </c>
      <c r="N157" t="s">
        <v>65</v>
      </c>
      <c r="P157">
        <f xml:space="preserve"> _xlfn.ISOWEEKNUM(RecetteTransport2[[#This Row],[Date validation Optique]])</f>
        <v>52</v>
      </c>
      <c r="Q157">
        <f>YEAR(RecetteTransport2[[#This Row],[Date validation Optique]])</f>
        <v>1900</v>
      </c>
      <c r="T157" s="50">
        <f>_xlfn.ISOWEEKNUM(RecetteTransport2[[#This Row],[Date Achevement  Mécanique]])</f>
        <v>52</v>
      </c>
      <c r="U157" s="50">
        <f>YEAR(RecetteTransport2[[#This Row],[Date Achevement  Mécanique]])</f>
        <v>1900</v>
      </c>
      <c r="V157" s="2">
        <v>44218</v>
      </c>
      <c r="W157" s="50">
        <f>_xlfn.ISOWEEKNUM(RecetteTransport2[[#This Row],[Date de mesure]])</f>
        <v>3</v>
      </c>
      <c r="X157" s="11">
        <f>YEAR(RecetteTransport2[[#This Row],[Date de mesure]])</f>
        <v>2021</v>
      </c>
      <c r="Y157" s="2">
        <v>44221</v>
      </c>
      <c r="Z157" s="50">
        <f>_xlfn.ISOWEEKNUM(RecetteTransport2[[#This Row],[Date envoie dossier mesure]])</f>
        <v>4</v>
      </c>
      <c r="AA157" s="50">
        <f>YEAR(RecetteTransport2[[#This Row],[Date envoie dossier mesure]])</f>
        <v>2021</v>
      </c>
      <c r="AB157" s="11">
        <v>0</v>
      </c>
      <c r="AC157" s="11">
        <v>0</v>
      </c>
      <c r="AD157" s="50">
        <v>8</v>
      </c>
      <c r="AE157" s="6" t="e">
        <f>RecetteTransport2[[#All],[Nb de reprises Optiques]]/#REF!</f>
        <v>#REF!</v>
      </c>
      <c r="AF157" s="6"/>
    </row>
    <row r="158" spans="1:32" hidden="1" x14ac:dyDescent="0.3">
      <c r="A158" t="s">
        <v>12</v>
      </c>
      <c r="B158" t="s">
        <v>20</v>
      </c>
      <c r="C158" t="s">
        <v>44</v>
      </c>
      <c r="D158" t="s">
        <v>310</v>
      </c>
      <c r="G158" s="11"/>
      <c r="H158" s="11" t="s">
        <v>29</v>
      </c>
      <c r="I158" s="11" t="s">
        <v>29</v>
      </c>
      <c r="J158" s="11">
        <f>RecetteTransport2[[#All],[Fibres TC NOK]]</f>
        <v>1</v>
      </c>
      <c r="K158" s="50">
        <f>RecetteTransport2[[#All],[Valeur Critique]]</f>
        <v>0</v>
      </c>
      <c r="L158" s="50">
        <f>AD:AD</f>
        <v>33</v>
      </c>
      <c r="N158" t="s">
        <v>65</v>
      </c>
      <c r="P158">
        <f xml:space="preserve"> _xlfn.ISOWEEKNUM(RecetteTransport2[[#This Row],[Date validation Optique]])</f>
        <v>52</v>
      </c>
      <c r="Q158">
        <f>YEAR(RecetteTransport2[[#This Row],[Date validation Optique]])</f>
        <v>1900</v>
      </c>
      <c r="T158" s="50">
        <f>_xlfn.ISOWEEKNUM(RecetteTransport2[[#This Row],[Date Achevement  Mécanique]])</f>
        <v>52</v>
      </c>
      <c r="U158" s="50">
        <f>YEAR(RecetteTransport2[[#This Row],[Date Achevement  Mécanique]])</f>
        <v>1900</v>
      </c>
      <c r="V158" s="2"/>
      <c r="W158" s="50">
        <f>_xlfn.ISOWEEKNUM(RecetteTransport2[[#This Row],[Date de mesure]])</f>
        <v>52</v>
      </c>
      <c r="X158" s="11">
        <f>YEAR(RecetteTransport2[[#This Row],[Date de mesure]])</f>
        <v>1900</v>
      </c>
      <c r="Y158" s="2">
        <v>44221</v>
      </c>
      <c r="Z158" s="50">
        <f>_xlfn.ISOWEEKNUM(RecetteTransport2[[#This Row],[Date envoie dossier mesure]])</f>
        <v>4</v>
      </c>
      <c r="AA158" s="50">
        <f>YEAR(RecetteTransport2[[#This Row],[Date envoie dossier mesure]])</f>
        <v>2021</v>
      </c>
      <c r="AB158" s="11">
        <v>1</v>
      </c>
      <c r="AC158" s="11">
        <v>0</v>
      </c>
      <c r="AD158" s="50">
        <v>33</v>
      </c>
      <c r="AE158" s="6" t="e">
        <f>RecetteTransport2[[#All],[Nb de reprises Optiques]]/#REF!</f>
        <v>#REF!</v>
      </c>
      <c r="AF158" s="6"/>
    </row>
    <row r="159" spans="1:32" hidden="1" x14ac:dyDescent="0.3">
      <c r="A159" t="s">
        <v>12</v>
      </c>
      <c r="B159" t="s">
        <v>20</v>
      </c>
      <c r="C159" t="s">
        <v>44</v>
      </c>
      <c r="D159" t="s">
        <v>315</v>
      </c>
      <c r="G159" s="11"/>
      <c r="H159" s="11" t="s">
        <v>29</v>
      </c>
      <c r="I159" s="11" t="s">
        <v>29</v>
      </c>
      <c r="J159" s="11">
        <f>RecetteTransport2[[#All],[Fibres TC NOK]]</f>
        <v>1</v>
      </c>
      <c r="K159" s="50">
        <f>RecetteTransport2[[#All],[Valeur Critique]]</f>
        <v>0</v>
      </c>
      <c r="L159" s="50">
        <f>AD:AD</f>
        <v>60</v>
      </c>
      <c r="N159" t="s">
        <v>65</v>
      </c>
      <c r="P159">
        <f xml:space="preserve"> _xlfn.ISOWEEKNUM(RecetteTransport2[[#This Row],[Date validation Optique]])</f>
        <v>52</v>
      </c>
      <c r="Q159">
        <f>YEAR(RecetteTransport2[[#This Row],[Date validation Optique]])</f>
        <v>1900</v>
      </c>
      <c r="T159" s="50">
        <f>_xlfn.ISOWEEKNUM(RecetteTransport2[[#This Row],[Date Achevement  Mécanique]])</f>
        <v>52</v>
      </c>
      <c r="U159" s="50">
        <f>YEAR(RecetteTransport2[[#This Row],[Date Achevement  Mécanique]])</f>
        <v>1900</v>
      </c>
      <c r="V159" s="2">
        <v>44218</v>
      </c>
      <c r="W159" s="50">
        <f>_xlfn.ISOWEEKNUM(RecetteTransport2[[#This Row],[Date de mesure]])</f>
        <v>3</v>
      </c>
      <c r="X159" s="11">
        <f>YEAR(RecetteTransport2[[#This Row],[Date de mesure]])</f>
        <v>2021</v>
      </c>
      <c r="Y159" s="2">
        <v>44221</v>
      </c>
      <c r="Z159" s="50">
        <f>_xlfn.ISOWEEKNUM(RecetteTransport2[[#This Row],[Date envoie dossier mesure]])</f>
        <v>4</v>
      </c>
      <c r="AA159" s="50">
        <f>YEAR(RecetteTransport2[[#This Row],[Date envoie dossier mesure]])</f>
        <v>2021</v>
      </c>
      <c r="AB159" s="11">
        <v>1</v>
      </c>
      <c r="AC159" s="11">
        <v>0</v>
      </c>
      <c r="AD159" s="50">
        <v>60</v>
      </c>
      <c r="AE159" s="6" t="e">
        <f>RecetteTransport2[[#All],[Nb de reprises Optiques]]/#REF!</f>
        <v>#REF!</v>
      </c>
      <c r="AF159" s="6"/>
    </row>
    <row r="160" spans="1:32" hidden="1" x14ac:dyDescent="0.3">
      <c r="A160" t="s">
        <v>12</v>
      </c>
      <c r="B160" t="s">
        <v>20</v>
      </c>
      <c r="C160" t="s">
        <v>44</v>
      </c>
      <c r="D160" t="s">
        <v>316</v>
      </c>
      <c r="G160" s="11"/>
      <c r="H160" s="11" t="s">
        <v>29</v>
      </c>
      <c r="I160" s="11" t="s">
        <v>29</v>
      </c>
      <c r="J160" s="11">
        <f>RecetteTransport2[[#All],[Fibres TC NOK]]</f>
        <v>0</v>
      </c>
      <c r="K160" s="50">
        <f>RecetteTransport2[[#All],[Valeur Critique]]</f>
        <v>0</v>
      </c>
      <c r="L160" s="50">
        <f>AD:AD</f>
        <v>87</v>
      </c>
      <c r="N160" t="s">
        <v>65</v>
      </c>
      <c r="P160">
        <f xml:space="preserve"> _xlfn.ISOWEEKNUM(RecetteTransport2[[#This Row],[Date validation Optique]])</f>
        <v>52</v>
      </c>
      <c r="Q160">
        <f>YEAR(RecetteTransport2[[#This Row],[Date validation Optique]])</f>
        <v>1900</v>
      </c>
      <c r="T160" s="50">
        <f>_xlfn.ISOWEEKNUM(RecetteTransport2[[#This Row],[Date Achevement  Mécanique]])</f>
        <v>52</v>
      </c>
      <c r="U160" s="50">
        <f>YEAR(RecetteTransport2[[#This Row],[Date Achevement  Mécanique]])</f>
        <v>1900</v>
      </c>
      <c r="V160" s="2">
        <v>44218</v>
      </c>
      <c r="W160" s="50">
        <f>_xlfn.ISOWEEKNUM(RecetteTransport2[[#This Row],[Date de mesure]])</f>
        <v>3</v>
      </c>
      <c r="X160" s="11">
        <f>YEAR(RecetteTransport2[[#This Row],[Date de mesure]])</f>
        <v>2021</v>
      </c>
      <c r="Y160" s="2">
        <v>44221</v>
      </c>
      <c r="Z160" s="50">
        <f>_xlfn.ISOWEEKNUM(RecetteTransport2[[#This Row],[Date envoie dossier mesure]])</f>
        <v>4</v>
      </c>
      <c r="AA160" s="50">
        <f>YEAR(RecetteTransport2[[#This Row],[Date envoie dossier mesure]])</f>
        <v>2021</v>
      </c>
      <c r="AB160" s="11">
        <v>0</v>
      </c>
      <c r="AC160" s="11">
        <v>0</v>
      </c>
      <c r="AD160" s="50">
        <v>87</v>
      </c>
      <c r="AE160" s="6" t="e">
        <f>RecetteTransport2[[#All],[Nb de reprises Optiques]]/#REF!</f>
        <v>#REF!</v>
      </c>
      <c r="AF160" s="6"/>
    </row>
    <row r="161" spans="1:32" hidden="1" x14ac:dyDescent="0.3">
      <c r="A161" t="s">
        <v>12</v>
      </c>
      <c r="B161" t="s">
        <v>20</v>
      </c>
      <c r="C161" t="s">
        <v>44</v>
      </c>
      <c r="D161" t="s">
        <v>311</v>
      </c>
      <c r="G161" s="11"/>
      <c r="H161" s="11" t="s">
        <v>29</v>
      </c>
      <c r="I161" s="11" t="s">
        <v>29</v>
      </c>
      <c r="J161" s="11">
        <f>RecetteTransport2[[#All],[Fibres TC NOK]]</f>
        <v>1</v>
      </c>
      <c r="K161" s="50">
        <f>RecetteTransport2[[#All],[Valeur Critique]]</f>
        <v>0</v>
      </c>
      <c r="L161" s="50">
        <f>AD:AD</f>
        <v>36</v>
      </c>
      <c r="N161" t="s">
        <v>65</v>
      </c>
      <c r="P161">
        <f xml:space="preserve"> _xlfn.ISOWEEKNUM(RecetteTransport2[[#This Row],[Date validation Optique]])</f>
        <v>52</v>
      </c>
      <c r="Q161">
        <f>YEAR(RecetteTransport2[[#This Row],[Date validation Optique]])</f>
        <v>1900</v>
      </c>
      <c r="T161" s="50">
        <f>_xlfn.ISOWEEKNUM(RecetteTransport2[[#This Row],[Date Achevement  Mécanique]])</f>
        <v>52</v>
      </c>
      <c r="U161" s="50">
        <f>YEAR(RecetteTransport2[[#This Row],[Date Achevement  Mécanique]])</f>
        <v>1900</v>
      </c>
      <c r="V161" s="2"/>
      <c r="W161" s="50">
        <f>_xlfn.ISOWEEKNUM(RecetteTransport2[[#This Row],[Date de mesure]])</f>
        <v>52</v>
      </c>
      <c r="X161" s="11">
        <f>YEAR(RecetteTransport2[[#This Row],[Date de mesure]])</f>
        <v>1900</v>
      </c>
      <c r="Y161" s="2">
        <v>44221</v>
      </c>
      <c r="Z161" s="50">
        <f>_xlfn.ISOWEEKNUM(RecetteTransport2[[#This Row],[Date envoie dossier mesure]])</f>
        <v>4</v>
      </c>
      <c r="AA161" s="50">
        <f>YEAR(RecetteTransport2[[#This Row],[Date envoie dossier mesure]])</f>
        <v>2021</v>
      </c>
      <c r="AB161" s="11">
        <v>1</v>
      </c>
      <c r="AC161" s="11">
        <v>0</v>
      </c>
      <c r="AD161" s="50">
        <v>36</v>
      </c>
      <c r="AE161" s="6" t="e">
        <f>RecetteTransport2[[#All],[Nb de reprises Optiques]]/#REF!</f>
        <v>#REF!</v>
      </c>
      <c r="AF161" s="6"/>
    </row>
    <row r="162" spans="1:32" x14ac:dyDescent="0.3">
      <c r="A162" t="s">
        <v>12</v>
      </c>
      <c r="B162" t="s">
        <v>20</v>
      </c>
      <c r="C162" t="s">
        <v>44</v>
      </c>
      <c r="D162" t="s">
        <v>416</v>
      </c>
      <c r="G162" s="11"/>
      <c r="H162" s="11"/>
      <c r="I162" s="11"/>
      <c r="J162" s="11">
        <f>RecetteTransport2[[#All],[Fibres TC NOK]]</f>
        <v>0</v>
      </c>
      <c r="K162" s="50">
        <f>RecetteTransport2[[#All],[Valeur Critique]]</f>
        <v>0</v>
      </c>
      <c r="L162" s="50">
        <f>AD:AD</f>
        <v>0</v>
      </c>
      <c r="P162" s="11">
        <f xml:space="preserve"> _xlfn.ISOWEEKNUM(RecetteTransport2[[#This Row],[Date validation Optique]])</f>
        <v>52</v>
      </c>
      <c r="Q162" s="11">
        <f>YEAR(RecetteTransport2[[#This Row],[Date validation Optique]])</f>
        <v>1900</v>
      </c>
      <c r="T162" s="50">
        <f>_xlfn.ISOWEEKNUM(RecetteTransport2[[#This Row],[Date Achevement  Mécanique]])</f>
        <v>52</v>
      </c>
      <c r="U162" s="50">
        <f>YEAR(RecetteTransport2[[#This Row],[Date Achevement  Mécanique]])</f>
        <v>1900</v>
      </c>
      <c r="V162" s="2"/>
      <c r="W162" s="50">
        <f>_xlfn.ISOWEEKNUM(RecetteTransport2[[#This Row],[Date de mesure]])</f>
        <v>52</v>
      </c>
      <c r="X162" s="11">
        <f>YEAR(RecetteTransport2[[#This Row],[Date de mesure]])</f>
        <v>1900</v>
      </c>
      <c r="Z162" s="50">
        <f>_xlfn.ISOWEEKNUM(RecetteTransport2[[#This Row],[Date envoie dossier mesure]])</f>
        <v>52</v>
      </c>
      <c r="AA162" s="50">
        <f>YEAR(RecetteTransport2[[#This Row],[Date envoie dossier mesure]])</f>
        <v>1900</v>
      </c>
      <c r="AB162" s="11"/>
      <c r="AC162" s="11"/>
      <c r="AE162" s="6" t="e">
        <f>RecetteTransport2[[#All],[Nb de reprises Optiques]]/#REF!</f>
        <v>#REF!</v>
      </c>
      <c r="AF162" s="6"/>
    </row>
    <row r="163" spans="1:32" hidden="1" x14ac:dyDescent="0.3">
      <c r="A163" t="s">
        <v>12</v>
      </c>
      <c r="B163" t="s">
        <v>20</v>
      </c>
      <c r="C163" t="s">
        <v>44</v>
      </c>
      <c r="D163" t="s">
        <v>317</v>
      </c>
      <c r="G163" s="11"/>
      <c r="H163" s="11" t="s">
        <v>29</v>
      </c>
      <c r="I163" s="11" t="s">
        <v>29</v>
      </c>
      <c r="J163" s="11">
        <f>RecetteTransport2[[#All],[Fibres TC NOK]]</f>
        <v>0</v>
      </c>
      <c r="K163" s="50">
        <f>RecetteTransport2[[#All],[Valeur Critique]]</f>
        <v>0</v>
      </c>
      <c r="L163" s="50">
        <f>AD:AD</f>
        <v>20</v>
      </c>
      <c r="N163" t="s">
        <v>65</v>
      </c>
      <c r="P163">
        <f xml:space="preserve"> _xlfn.ISOWEEKNUM(RecetteTransport2[[#This Row],[Date validation Optique]])</f>
        <v>52</v>
      </c>
      <c r="Q163">
        <f>YEAR(RecetteTransport2[[#This Row],[Date validation Optique]])</f>
        <v>1900</v>
      </c>
      <c r="T163" s="50">
        <f>_xlfn.ISOWEEKNUM(RecetteTransport2[[#This Row],[Date Achevement  Mécanique]])</f>
        <v>52</v>
      </c>
      <c r="U163" s="50">
        <f>YEAR(RecetteTransport2[[#This Row],[Date Achevement  Mécanique]])</f>
        <v>1900</v>
      </c>
      <c r="V163" s="2">
        <v>44218</v>
      </c>
      <c r="W163" s="50">
        <f>_xlfn.ISOWEEKNUM(RecetteTransport2[[#This Row],[Date de mesure]])</f>
        <v>3</v>
      </c>
      <c r="X163" s="11">
        <f>YEAR(RecetteTransport2[[#This Row],[Date de mesure]])</f>
        <v>2021</v>
      </c>
      <c r="Y163" s="2">
        <v>44221</v>
      </c>
      <c r="Z163" s="50">
        <f>_xlfn.ISOWEEKNUM(RecetteTransport2[[#This Row],[Date envoie dossier mesure]])</f>
        <v>4</v>
      </c>
      <c r="AA163" s="50">
        <f>YEAR(RecetteTransport2[[#This Row],[Date envoie dossier mesure]])</f>
        <v>2021</v>
      </c>
      <c r="AB163" s="11">
        <v>0</v>
      </c>
      <c r="AC163" s="11">
        <v>0</v>
      </c>
      <c r="AD163" s="50">
        <v>20</v>
      </c>
      <c r="AE163" s="6" t="e">
        <f>RecetteTransport2[[#All],[Nb de reprises Optiques]]/#REF!</f>
        <v>#REF!</v>
      </c>
      <c r="AF163" s="6"/>
    </row>
    <row r="164" spans="1:32" hidden="1" x14ac:dyDescent="0.3">
      <c r="A164" t="s">
        <v>12</v>
      </c>
      <c r="B164" t="s">
        <v>20</v>
      </c>
      <c r="C164" t="s">
        <v>44</v>
      </c>
      <c r="D164" t="s">
        <v>312</v>
      </c>
      <c r="G164" s="11"/>
      <c r="H164" s="11" t="s">
        <v>29</v>
      </c>
      <c r="I164" s="11" t="s">
        <v>29</v>
      </c>
      <c r="J164" s="11">
        <f>RecetteTransport2[[#All],[Fibres TC NOK]]</f>
        <v>0</v>
      </c>
      <c r="K164" s="50">
        <f>RecetteTransport2[[#All],[Valeur Critique]]</f>
        <v>0</v>
      </c>
      <c r="L164" s="50">
        <f>AD:AD</f>
        <v>24</v>
      </c>
      <c r="N164" t="s">
        <v>65</v>
      </c>
      <c r="P164">
        <f xml:space="preserve"> _xlfn.ISOWEEKNUM(RecetteTransport2[[#This Row],[Date validation Optique]])</f>
        <v>52</v>
      </c>
      <c r="Q164">
        <f>YEAR(RecetteTransport2[[#This Row],[Date validation Optique]])</f>
        <v>1900</v>
      </c>
      <c r="T164" s="50">
        <f>_xlfn.ISOWEEKNUM(RecetteTransport2[[#This Row],[Date Achevement  Mécanique]])</f>
        <v>52</v>
      </c>
      <c r="U164" s="50">
        <f>YEAR(RecetteTransport2[[#This Row],[Date Achevement  Mécanique]])</f>
        <v>1900</v>
      </c>
      <c r="V164" s="2">
        <v>44229</v>
      </c>
      <c r="W164" s="50">
        <f>_xlfn.ISOWEEKNUM(RecetteTransport2[[#This Row],[Date de mesure]])</f>
        <v>5</v>
      </c>
      <c r="X164" s="11">
        <f>YEAR(RecetteTransport2[[#This Row],[Date de mesure]])</f>
        <v>2021</v>
      </c>
      <c r="Y164" s="2">
        <v>44235</v>
      </c>
      <c r="Z164" s="50">
        <f>_xlfn.ISOWEEKNUM(RecetteTransport2[[#This Row],[Date envoie dossier mesure]])</f>
        <v>6</v>
      </c>
      <c r="AA164" s="50">
        <f>YEAR(RecetteTransport2[[#This Row],[Date envoie dossier mesure]])</f>
        <v>2021</v>
      </c>
      <c r="AB164" s="11">
        <v>0</v>
      </c>
      <c r="AC164" s="11">
        <v>0</v>
      </c>
      <c r="AD164" s="50">
        <v>24</v>
      </c>
      <c r="AE164" s="6" t="e">
        <f>RecetteTransport2[[#All],[Nb de reprises Optiques]]/#REF!</f>
        <v>#REF!</v>
      </c>
      <c r="AF164" s="6"/>
    </row>
    <row r="165" spans="1:32" hidden="1" x14ac:dyDescent="0.3">
      <c r="A165" t="s">
        <v>12</v>
      </c>
      <c r="B165" t="s">
        <v>20</v>
      </c>
      <c r="C165" t="s">
        <v>44</v>
      </c>
      <c r="D165" t="s">
        <v>313</v>
      </c>
      <c r="G165" s="11"/>
      <c r="H165" s="11" t="s">
        <v>29</v>
      </c>
      <c r="I165" s="11" t="s">
        <v>29</v>
      </c>
      <c r="J165" s="11">
        <f>RecetteTransport2[[#All],[Fibres TC NOK]]</f>
        <v>0</v>
      </c>
      <c r="K165" s="50">
        <f>RecetteTransport2[[#All],[Valeur Critique]]</f>
        <v>0</v>
      </c>
      <c r="L165" s="50">
        <f>AD:AD</f>
        <v>0</v>
      </c>
      <c r="N165" t="s">
        <v>389</v>
      </c>
      <c r="O165" s="2">
        <v>44235</v>
      </c>
      <c r="P165">
        <f xml:space="preserve"> _xlfn.ISOWEEKNUM(RecetteTransport2[[#This Row],[Date validation Optique]])</f>
        <v>6</v>
      </c>
      <c r="Q165">
        <f>YEAR(RecetteTransport2[[#This Row],[Date validation Optique]])</f>
        <v>2021</v>
      </c>
      <c r="T165" s="50">
        <f>_xlfn.ISOWEEKNUM(RecetteTransport2[[#This Row],[Date Achevement  Mécanique]])</f>
        <v>52</v>
      </c>
      <c r="U165" s="50">
        <f>YEAR(RecetteTransport2[[#This Row],[Date Achevement  Mécanique]])</f>
        <v>1900</v>
      </c>
      <c r="V165" s="2">
        <v>44229</v>
      </c>
      <c r="W165" s="50">
        <f>_xlfn.ISOWEEKNUM(RecetteTransport2[[#This Row],[Date de mesure]])</f>
        <v>5</v>
      </c>
      <c r="X165" s="11">
        <f>YEAR(RecetteTransport2[[#This Row],[Date de mesure]])</f>
        <v>2021</v>
      </c>
      <c r="Y165" s="2">
        <v>44235</v>
      </c>
      <c r="Z165" s="50">
        <f>_xlfn.ISOWEEKNUM(RecetteTransport2[[#This Row],[Date envoie dossier mesure]])</f>
        <v>6</v>
      </c>
      <c r="AA165" s="50">
        <f>YEAR(RecetteTransport2[[#This Row],[Date envoie dossier mesure]])</f>
        <v>2021</v>
      </c>
      <c r="AB165" s="11">
        <v>0</v>
      </c>
      <c r="AC165" s="11">
        <v>0</v>
      </c>
      <c r="AD165" s="50">
        <v>0</v>
      </c>
      <c r="AE165" s="6" t="e">
        <f>RecetteTransport2[[#All],[Nb de reprises Optiques]]/#REF!</f>
        <v>#REF!</v>
      </c>
      <c r="AF165" s="6"/>
    </row>
    <row r="166" spans="1:32" hidden="1" x14ac:dyDescent="0.3">
      <c r="A166" t="s">
        <v>12</v>
      </c>
      <c r="B166" t="s">
        <v>20</v>
      </c>
      <c r="C166" t="s">
        <v>44</v>
      </c>
      <c r="D166" t="s">
        <v>318</v>
      </c>
      <c r="G166" s="11"/>
      <c r="H166" s="11" t="s">
        <v>29</v>
      </c>
      <c r="I166" s="11" t="s">
        <v>29</v>
      </c>
      <c r="J166" s="11">
        <f>RecetteTransport2[[#All],[Fibres TC NOK]]</f>
        <v>0</v>
      </c>
      <c r="K166" s="50">
        <f>RecetteTransport2[[#All],[Valeur Critique]]</f>
        <v>1</v>
      </c>
      <c r="L166" s="50">
        <f>AD:AD</f>
        <v>9</v>
      </c>
      <c r="N166" t="s">
        <v>65</v>
      </c>
      <c r="P166">
        <f xml:space="preserve"> _xlfn.ISOWEEKNUM(RecetteTransport2[[#This Row],[Date validation Optique]])</f>
        <v>52</v>
      </c>
      <c r="Q166">
        <f>YEAR(RecetteTransport2[[#This Row],[Date validation Optique]])</f>
        <v>1900</v>
      </c>
      <c r="T166" s="50">
        <f>_xlfn.ISOWEEKNUM(RecetteTransport2[[#This Row],[Date Achevement  Mécanique]])</f>
        <v>52</v>
      </c>
      <c r="U166" s="50">
        <f>YEAR(RecetteTransport2[[#This Row],[Date Achevement  Mécanique]])</f>
        <v>1900</v>
      </c>
      <c r="V166" s="2">
        <v>44229</v>
      </c>
      <c r="W166" s="50">
        <f>_xlfn.ISOWEEKNUM(RecetteTransport2[[#This Row],[Date de mesure]])</f>
        <v>5</v>
      </c>
      <c r="X166" s="11">
        <f>YEAR(RecetteTransport2[[#This Row],[Date de mesure]])</f>
        <v>2021</v>
      </c>
      <c r="Y166" s="2">
        <v>44235</v>
      </c>
      <c r="Z166" s="50">
        <f>_xlfn.ISOWEEKNUM(RecetteTransport2[[#This Row],[Date envoie dossier mesure]])</f>
        <v>6</v>
      </c>
      <c r="AA166" s="50">
        <f>YEAR(RecetteTransport2[[#This Row],[Date envoie dossier mesure]])</f>
        <v>2021</v>
      </c>
      <c r="AB166" s="11">
        <v>0</v>
      </c>
      <c r="AC166" s="11">
        <v>1</v>
      </c>
      <c r="AD166" s="50">
        <v>9</v>
      </c>
      <c r="AE166" s="6" t="e">
        <f>RecetteTransport2[[#All],[Nb de reprises Optiques]]/#REF!</f>
        <v>#REF!</v>
      </c>
      <c r="AF166" s="6"/>
    </row>
    <row r="167" spans="1:32" hidden="1" x14ac:dyDescent="0.3">
      <c r="A167" t="s">
        <v>12</v>
      </c>
      <c r="B167" t="s">
        <v>20</v>
      </c>
      <c r="C167" t="s">
        <v>44</v>
      </c>
      <c r="D167" t="s">
        <v>374</v>
      </c>
      <c r="G167" s="11"/>
      <c r="H167" s="11" t="s">
        <v>29</v>
      </c>
      <c r="I167" s="11" t="s">
        <v>29</v>
      </c>
      <c r="J167" s="11">
        <f>RecetteTransport2[[#All],[Fibres TC NOK]]</f>
        <v>0</v>
      </c>
      <c r="K167" s="50">
        <f>RecetteTransport2[[#All],[Valeur Critique]]</f>
        <v>0</v>
      </c>
      <c r="L167" s="50">
        <f>AD:AD</f>
        <v>11</v>
      </c>
      <c r="N167" t="s">
        <v>65</v>
      </c>
      <c r="P167">
        <f xml:space="preserve"> _xlfn.ISOWEEKNUM(RecetteTransport2[[#This Row],[Date validation Optique]])</f>
        <v>52</v>
      </c>
      <c r="Q167">
        <f>YEAR(RecetteTransport2[[#This Row],[Date validation Optique]])</f>
        <v>1900</v>
      </c>
      <c r="S167" s="47"/>
      <c r="T167" s="50">
        <f>_xlfn.ISOWEEKNUM(RecetteTransport2[[#This Row],[Date Achevement  Mécanique]])</f>
        <v>52</v>
      </c>
      <c r="U167" s="50">
        <f>YEAR(RecetteTransport2[[#This Row],[Date Achevement  Mécanique]])</f>
        <v>1900</v>
      </c>
      <c r="V167" s="2"/>
      <c r="W167" s="50">
        <f>_xlfn.ISOWEEKNUM(RecetteTransport2[[#This Row],[Date de mesure]])</f>
        <v>52</v>
      </c>
      <c r="X167" s="11">
        <f>YEAR(RecetteTransport2[[#This Row],[Date de mesure]])</f>
        <v>1900</v>
      </c>
      <c r="Y167" s="2">
        <v>44221</v>
      </c>
      <c r="Z167" s="50">
        <f>_xlfn.ISOWEEKNUM(RecetteTransport2[[#This Row],[Date envoie dossier mesure]])</f>
        <v>4</v>
      </c>
      <c r="AA167" s="50">
        <f>YEAR(RecetteTransport2[[#This Row],[Date envoie dossier mesure]])</f>
        <v>2021</v>
      </c>
      <c r="AB167" s="11">
        <v>0</v>
      </c>
      <c r="AC167" s="11">
        <v>0</v>
      </c>
      <c r="AD167" s="50">
        <v>11</v>
      </c>
      <c r="AE167" s="6" t="e">
        <f>RecetteTransport2[[#All],[Nb de reprises Optiques]]/#REF!</f>
        <v>#REF!</v>
      </c>
      <c r="AF167" s="6"/>
    </row>
    <row r="168" spans="1:32" hidden="1" x14ac:dyDescent="0.3">
      <c r="A168" t="s">
        <v>12</v>
      </c>
      <c r="B168" t="s">
        <v>20</v>
      </c>
      <c r="C168" t="s">
        <v>44</v>
      </c>
      <c r="D168" t="s">
        <v>314</v>
      </c>
      <c r="G168" s="11"/>
      <c r="H168" s="11" t="s">
        <v>29</v>
      </c>
      <c r="I168" s="11" t="s">
        <v>29</v>
      </c>
      <c r="J168" s="11">
        <f>RecetteTransport2[[#All],[Fibres TC NOK]]</f>
        <v>0</v>
      </c>
      <c r="K168" s="50">
        <f>RecetteTransport2[[#All],[Valeur Critique]]</f>
        <v>0</v>
      </c>
      <c r="L168" s="50">
        <f>AD:AD</f>
        <v>34</v>
      </c>
      <c r="N168" t="s">
        <v>65</v>
      </c>
      <c r="P168">
        <f xml:space="preserve"> _xlfn.ISOWEEKNUM(RecetteTransport2[[#This Row],[Date validation Optique]])</f>
        <v>52</v>
      </c>
      <c r="Q168">
        <f>YEAR(RecetteTransport2[[#This Row],[Date validation Optique]])</f>
        <v>1900</v>
      </c>
      <c r="T168" s="50">
        <f>_xlfn.ISOWEEKNUM(RecetteTransport2[[#This Row],[Date Achevement  Mécanique]])</f>
        <v>52</v>
      </c>
      <c r="U168" s="50">
        <f>YEAR(RecetteTransport2[[#This Row],[Date Achevement  Mécanique]])</f>
        <v>1900</v>
      </c>
      <c r="V168" s="2">
        <v>44229</v>
      </c>
      <c r="W168" s="50">
        <f>_xlfn.ISOWEEKNUM(RecetteTransport2[[#This Row],[Date de mesure]])</f>
        <v>5</v>
      </c>
      <c r="X168" s="11">
        <f>YEAR(RecetteTransport2[[#This Row],[Date de mesure]])</f>
        <v>2021</v>
      </c>
      <c r="Y168" s="2">
        <v>44235</v>
      </c>
      <c r="Z168" s="50">
        <f>_xlfn.ISOWEEKNUM(RecetteTransport2[[#This Row],[Date envoie dossier mesure]])</f>
        <v>6</v>
      </c>
      <c r="AA168" s="50">
        <f>YEAR(RecetteTransport2[[#This Row],[Date envoie dossier mesure]])</f>
        <v>2021</v>
      </c>
      <c r="AB168" s="11">
        <v>0</v>
      </c>
      <c r="AC168" s="11">
        <v>0</v>
      </c>
      <c r="AD168" s="50">
        <v>34</v>
      </c>
      <c r="AE168" s="6" t="e">
        <f>RecetteTransport2[[#All],[Nb de reprises Optiques]]/#REF!</f>
        <v>#REF!</v>
      </c>
      <c r="AF168" s="6"/>
    </row>
    <row r="169" spans="1:32" hidden="1" x14ac:dyDescent="0.3">
      <c r="A169" t="s">
        <v>12</v>
      </c>
      <c r="B169" t="s">
        <v>20</v>
      </c>
      <c r="C169" t="s">
        <v>354</v>
      </c>
      <c r="D169" t="s">
        <v>351</v>
      </c>
      <c r="G169" s="11"/>
      <c r="H169" s="11" t="s">
        <v>29</v>
      </c>
      <c r="I169" s="11" t="s">
        <v>29</v>
      </c>
      <c r="J169" s="11">
        <f>RecetteTransport2[[#All],[Fibres TC NOK]]</f>
        <v>0</v>
      </c>
      <c r="K169" s="50">
        <f>RecetteTransport2[[#All],[Valeur Critique]]</f>
        <v>0</v>
      </c>
      <c r="L169" s="50">
        <f>AD:AD</f>
        <v>6</v>
      </c>
      <c r="N169" t="s">
        <v>65</v>
      </c>
      <c r="P169">
        <f xml:space="preserve"> _xlfn.ISOWEEKNUM(RecetteTransport2[[#This Row],[Date validation Optique]])</f>
        <v>52</v>
      </c>
      <c r="Q169">
        <f>YEAR(RecetteTransport2[[#This Row],[Date validation Optique]])</f>
        <v>1900</v>
      </c>
      <c r="T169" s="50">
        <f>_xlfn.ISOWEEKNUM(RecetteTransport2[[#This Row],[Date Achevement  Mécanique]])</f>
        <v>52</v>
      </c>
      <c r="U169" s="50">
        <f>YEAR(RecetteTransport2[[#This Row],[Date Achevement  Mécanique]])</f>
        <v>1900</v>
      </c>
      <c r="V169" s="2">
        <v>44252</v>
      </c>
      <c r="W169" s="50">
        <f>_xlfn.ISOWEEKNUM(RecetteTransport2[[#This Row],[Date de mesure]])</f>
        <v>8</v>
      </c>
      <c r="X169" s="11">
        <f>YEAR(RecetteTransport2[[#This Row],[Date de mesure]])</f>
        <v>2021</v>
      </c>
      <c r="Y169" s="2">
        <v>44266</v>
      </c>
      <c r="Z169" s="50">
        <f>_xlfn.ISOWEEKNUM(RecetteTransport2[[#This Row],[Date envoie dossier mesure]])</f>
        <v>10</v>
      </c>
      <c r="AA169" s="50">
        <f>YEAR(RecetteTransport2[[#This Row],[Date envoie dossier mesure]])</f>
        <v>2021</v>
      </c>
      <c r="AB169" s="11">
        <v>0</v>
      </c>
      <c r="AC169" s="11">
        <v>0</v>
      </c>
      <c r="AD169" s="50">
        <v>6</v>
      </c>
      <c r="AE169" s="6" t="e">
        <f>RecetteTransport2[[#All],[Nb de reprises Optiques]]/#REF!</f>
        <v>#REF!</v>
      </c>
      <c r="AF169" s="6"/>
    </row>
    <row r="170" spans="1:32" hidden="1" x14ac:dyDescent="0.3">
      <c r="A170" t="s">
        <v>12</v>
      </c>
      <c r="B170" t="s">
        <v>20</v>
      </c>
      <c r="C170" t="s">
        <v>354</v>
      </c>
      <c r="D170" t="s">
        <v>352</v>
      </c>
      <c r="G170" s="11"/>
      <c r="H170" s="11" t="s">
        <v>29</v>
      </c>
      <c r="I170" s="11" t="s">
        <v>29</v>
      </c>
      <c r="J170" s="11">
        <f>RecetteTransport2[[#All],[Fibres TC NOK]]</f>
        <v>0</v>
      </c>
      <c r="K170" s="50">
        <f>RecetteTransport2[[#All],[Valeur Critique]]</f>
        <v>0</v>
      </c>
      <c r="L170" s="50">
        <f>AD:AD</f>
        <v>13</v>
      </c>
      <c r="N170" t="s">
        <v>65</v>
      </c>
      <c r="P170">
        <f xml:space="preserve"> _xlfn.ISOWEEKNUM(RecetteTransport2[[#This Row],[Date validation Optique]])</f>
        <v>52</v>
      </c>
      <c r="Q170">
        <f>YEAR(RecetteTransport2[[#This Row],[Date validation Optique]])</f>
        <v>1900</v>
      </c>
      <c r="T170" s="50">
        <f>_xlfn.ISOWEEKNUM(RecetteTransport2[[#This Row],[Date Achevement  Mécanique]])</f>
        <v>52</v>
      </c>
      <c r="U170" s="50">
        <f>YEAR(RecetteTransport2[[#This Row],[Date Achevement  Mécanique]])</f>
        <v>1900</v>
      </c>
      <c r="V170" s="2">
        <v>44252</v>
      </c>
      <c r="W170" s="50">
        <f>_xlfn.ISOWEEKNUM(RecetteTransport2[[#This Row],[Date de mesure]])</f>
        <v>8</v>
      </c>
      <c r="X170" s="11">
        <f>YEAR(RecetteTransport2[[#This Row],[Date de mesure]])</f>
        <v>2021</v>
      </c>
      <c r="Y170" s="2">
        <v>44267</v>
      </c>
      <c r="Z170" s="50">
        <f>_xlfn.ISOWEEKNUM(RecetteTransport2[[#This Row],[Date envoie dossier mesure]])</f>
        <v>10</v>
      </c>
      <c r="AA170" s="50">
        <f>YEAR(RecetteTransport2[[#This Row],[Date envoie dossier mesure]])</f>
        <v>2021</v>
      </c>
      <c r="AB170" s="11">
        <v>0</v>
      </c>
      <c r="AC170" s="11">
        <v>0</v>
      </c>
      <c r="AD170" s="50">
        <v>13</v>
      </c>
      <c r="AE170" s="6" t="e">
        <f>RecetteTransport2[[#All],[Nb de reprises Optiques]]/#REF!</f>
        <v>#REF!</v>
      </c>
      <c r="AF170" s="6"/>
    </row>
    <row r="171" spans="1:32" hidden="1" x14ac:dyDescent="0.3">
      <c r="A171" t="s">
        <v>12</v>
      </c>
      <c r="B171" t="s">
        <v>20</v>
      </c>
      <c r="C171" t="s">
        <v>354</v>
      </c>
      <c r="D171" t="s">
        <v>353</v>
      </c>
      <c r="G171" s="11"/>
      <c r="H171" s="11" t="s">
        <v>29</v>
      </c>
      <c r="I171" s="11" t="s">
        <v>29</v>
      </c>
      <c r="J171" s="11">
        <f>RecetteTransport2[[#All],[Fibres TC NOK]]</f>
        <v>0</v>
      </c>
      <c r="K171" s="50">
        <f>RecetteTransport2[[#All],[Valeur Critique]]</f>
        <v>0</v>
      </c>
      <c r="L171" s="50">
        <f>AD:AD</f>
        <v>23</v>
      </c>
      <c r="N171" t="s">
        <v>65</v>
      </c>
      <c r="P171">
        <f xml:space="preserve"> _xlfn.ISOWEEKNUM(RecetteTransport2[[#This Row],[Date validation Optique]])</f>
        <v>52</v>
      </c>
      <c r="Q171">
        <f>YEAR(RecetteTransport2[[#This Row],[Date validation Optique]])</f>
        <v>1900</v>
      </c>
      <c r="T171" s="50">
        <f>_xlfn.ISOWEEKNUM(RecetteTransport2[[#This Row],[Date Achevement  Mécanique]])</f>
        <v>52</v>
      </c>
      <c r="U171" s="50">
        <f>YEAR(RecetteTransport2[[#This Row],[Date Achevement  Mécanique]])</f>
        <v>1900</v>
      </c>
      <c r="V171" s="2">
        <v>44257</v>
      </c>
      <c r="W171" s="50">
        <f>_xlfn.ISOWEEKNUM(RecetteTransport2[[#This Row],[Date de mesure]])</f>
        <v>9</v>
      </c>
      <c r="X171" s="11">
        <f>YEAR(RecetteTransport2[[#This Row],[Date de mesure]])</f>
        <v>2021</v>
      </c>
      <c r="Y171" s="2">
        <v>44267</v>
      </c>
      <c r="Z171" s="50">
        <f>_xlfn.ISOWEEKNUM(RecetteTransport2[[#This Row],[Date envoie dossier mesure]])</f>
        <v>10</v>
      </c>
      <c r="AA171" s="50">
        <f>YEAR(RecetteTransport2[[#This Row],[Date envoie dossier mesure]])</f>
        <v>2021</v>
      </c>
      <c r="AB171" s="11">
        <v>0</v>
      </c>
      <c r="AC171" s="11">
        <v>0</v>
      </c>
      <c r="AD171" s="50">
        <v>23</v>
      </c>
      <c r="AE171" s="6" t="e">
        <f>RecetteTransport2[[#All],[Nb de reprises Optiques]]/#REF!</f>
        <v>#REF!</v>
      </c>
      <c r="AF171" s="6"/>
    </row>
    <row r="172" spans="1:32" hidden="1" x14ac:dyDescent="0.3">
      <c r="A172" t="s">
        <v>12</v>
      </c>
      <c r="B172" t="s">
        <v>20</v>
      </c>
      <c r="C172" t="s">
        <v>254</v>
      </c>
      <c r="D172" t="s">
        <v>265</v>
      </c>
      <c r="G172" s="11"/>
      <c r="H172" s="11" t="s">
        <v>29</v>
      </c>
      <c r="I172" s="11" t="s">
        <v>29</v>
      </c>
      <c r="J172" s="11">
        <f>RecetteTransport2[[#All],[Fibres TC NOK]]</f>
        <v>4</v>
      </c>
      <c r="K172" s="50">
        <f>RecetteTransport2[[#All],[Valeur Critique]]</f>
        <v>0</v>
      </c>
      <c r="L172" s="50">
        <f>AD:AD</f>
        <v>34</v>
      </c>
      <c r="N172" t="s">
        <v>65</v>
      </c>
      <c r="P172">
        <f xml:space="preserve"> _xlfn.ISOWEEKNUM(RecetteTransport2[[#This Row],[Date validation Optique]])</f>
        <v>52</v>
      </c>
      <c r="Q172">
        <f>YEAR(RecetteTransport2[[#This Row],[Date validation Optique]])</f>
        <v>1900</v>
      </c>
      <c r="T172" s="50">
        <f>_xlfn.ISOWEEKNUM(RecetteTransport2[[#This Row],[Date Achevement  Mécanique]])</f>
        <v>52</v>
      </c>
      <c r="U172" s="50">
        <f>YEAR(RecetteTransport2[[#This Row],[Date Achevement  Mécanique]])</f>
        <v>1900</v>
      </c>
      <c r="V172" s="2"/>
      <c r="W172" s="50">
        <f>_xlfn.ISOWEEKNUM(RecetteTransport2[[#This Row],[Date de mesure]])</f>
        <v>52</v>
      </c>
      <c r="X172" s="11">
        <f>YEAR(RecetteTransport2[[#This Row],[Date de mesure]])</f>
        <v>1900</v>
      </c>
      <c r="Y172" s="2">
        <v>44212</v>
      </c>
      <c r="Z172" s="50">
        <f>_xlfn.ISOWEEKNUM(RecetteTransport2[[#This Row],[Date envoie dossier mesure]])</f>
        <v>2</v>
      </c>
      <c r="AA172" s="50">
        <f>YEAR(RecetteTransport2[[#This Row],[Date envoie dossier mesure]])</f>
        <v>2021</v>
      </c>
      <c r="AB172" s="11">
        <v>4</v>
      </c>
      <c r="AC172" s="11">
        <v>0</v>
      </c>
      <c r="AD172" s="50">
        <v>34</v>
      </c>
      <c r="AE172" s="6" t="e">
        <f>RecetteTransport2[[#All],[Nb de reprises Optiques]]/#REF!</f>
        <v>#REF!</v>
      </c>
      <c r="AF172" s="6"/>
    </row>
    <row r="173" spans="1:32" x14ac:dyDescent="0.3">
      <c r="A173" t="s">
        <v>12</v>
      </c>
      <c r="D173" t="s">
        <v>495</v>
      </c>
      <c r="G173" s="11"/>
      <c r="H173" s="11"/>
      <c r="I173" s="11"/>
      <c r="J173" s="11">
        <f>RecetteTransport2[[#All],[Fibres TC NOK]]</f>
        <v>0</v>
      </c>
      <c r="K173" s="50">
        <f>RecetteTransport2[[#All],[Valeur Critique]]</f>
        <v>0</v>
      </c>
      <c r="L173" s="50">
        <f t="shared" ref="L173:L177" si="9">AD:AD</f>
        <v>0</v>
      </c>
      <c r="P173" s="11">
        <f xml:space="preserve"> _xlfn.ISOWEEKNUM(RecetteTransport2[[#This Row],[Date validation Optique]])</f>
        <v>52</v>
      </c>
      <c r="Q173" s="11">
        <f>YEAR(RecetteTransport2[[#This Row],[Date validation Optique]])</f>
        <v>1900</v>
      </c>
      <c r="S173" s="47" t="e">
        <f>#REF!+10</f>
        <v>#REF!</v>
      </c>
      <c r="T173" s="50" t="e">
        <f>_xlfn.ISOWEEKNUM(RecetteTransport2[[#This Row],[Date Achevement  Mécanique]])</f>
        <v>#REF!</v>
      </c>
      <c r="U173" s="50" t="e">
        <f>YEAR(RecetteTransport2[[#This Row],[Date Achevement  Mécanique]])</f>
        <v>#REF!</v>
      </c>
      <c r="V173" s="47"/>
      <c r="W173" s="50">
        <f>_xlfn.ISOWEEKNUM(RecetteTransport2[[#This Row],[Date de mesure]])</f>
        <v>52</v>
      </c>
      <c r="X173" s="11">
        <f>YEAR(RecetteTransport2[[#This Row],[Date de mesure]])</f>
        <v>1900</v>
      </c>
      <c r="Y173" s="47"/>
      <c r="Z173" s="50">
        <f>_xlfn.ISOWEEKNUM(RecetteTransport2[[#This Row],[Date envoie dossier mesure]])</f>
        <v>52</v>
      </c>
      <c r="AA173" s="50">
        <f>YEAR(RecetteTransport2[[#This Row],[Date envoie dossier mesure]])</f>
        <v>1900</v>
      </c>
      <c r="AB173" s="11"/>
      <c r="AC173" s="11"/>
      <c r="AE173" s="6" t="e">
        <f>RecetteTransport2[[#All],[Nb de reprises Optiques]]/#REF!</f>
        <v>#REF!</v>
      </c>
      <c r="AF173" s="6"/>
    </row>
    <row r="174" spans="1:32" x14ac:dyDescent="0.3">
      <c r="A174" t="s">
        <v>12</v>
      </c>
      <c r="D174" t="s">
        <v>496</v>
      </c>
      <c r="G174" s="11"/>
      <c r="H174" s="11"/>
      <c r="I174" s="11"/>
      <c r="J174" s="11">
        <f>RecetteTransport2[[#All],[Fibres TC NOK]]</f>
        <v>0</v>
      </c>
      <c r="K174" s="50">
        <f>RecetteTransport2[[#All],[Valeur Critique]]</f>
        <v>0</v>
      </c>
      <c r="L174" s="50">
        <f t="shared" si="9"/>
        <v>0</v>
      </c>
      <c r="P174" s="11">
        <f xml:space="preserve"> _xlfn.ISOWEEKNUM(RecetteTransport2[[#This Row],[Date validation Optique]])</f>
        <v>52</v>
      </c>
      <c r="Q174" s="11">
        <f>YEAR(RecetteTransport2[[#This Row],[Date validation Optique]])</f>
        <v>1900</v>
      </c>
      <c r="S174" s="47" t="e">
        <f>#REF!+10</f>
        <v>#REF!</v>
      </c>
      <c r="T174" s="50" t="e">
        <f>_xlfn.ISOWEEKNUM(RecetteTransport2[[#This Row],[Date Achevement  Mécanique]])</f>
        <v>#REF!</v>
      </c>
      <c r="U174" s="50" t="e">
        <f>YEAR(RecetteTransport2[[#This Row],[Date Achevement  Mécanique]])</f>
        <v>#REF!</v>
      </c>
      <c r="V174" s="47"/>
      <c r="W174" s="50">
        <f>_xlfn.ISOWEEKNUM(RecetteTransport2[[#This Row],[Date de mesure]])</f>
        <v>52</v>
      </c>
      <c r="X174" s="11">
        <f>YEAR(RecetteTransport2[[#This Row],[Date de mesure]])</f>
        <v>1900</v>
      </c>
      <c r="Y174" s="47"/>
      <c r="Z174" s="50">
        <f>_xlfn.ISOWEEKNUM(RecetteTransport2[[#This Row],[Date envoie dossier mesure]])</f>
        <v>52</v>
      </c>
      <c r="AA174" s="50">
        <f>YEAR(RecetteTransport2[[#This Row],[Date envoie dossier mesure]])</f>
        <v>1900</v>
      </c>
      <c r="AB174" s="11"/>
      <c r="AC174" s="11"/>
      <c r="AE174" s="6" t="e">
        <f>RecetteTransport2[[#All],[Nb de reprises Optiques]]/#REF!</f>
        <v>#REF!</v>
      </c>
      <c r="AF174" s="6"/>
    </row>
    <row r="175" spans="1:32" x14ac:dyDescent="0.3">
      <c r="A175" t="s">
        <v>12</v>
      </c>
      <c r="B175" t="s">
        <v>225</v>
      </c>
      <c r="D175" t="s">
        <v>497</v>
      </c>
      <c r="G175" s="11"/>
      <c r="H175" s="11"/>
      <c r="I175" s="11"/>
      <c r="J175" s="11">
        <f>RecetteTransport2[[#All],[Fibres TC NOK]]</f>
        <v>0</v>
      </c>
      <c r="K175" s="50">
        <f>RecetteTransport2[[#All],[Valeur Critique]]</f>
        <v>0</v>
      </c>
      <c r="L175" s="50">
        <f t="shared" si="9"/>
        <v>0</v>
      </c>
      <c r="P175" s="11">
        <f xml:space="preserve"> _xlfn.ISOWEEKNUM(RecetteTransport2[[#This Row],[Date validation Optique]])</f>
        <v>52</v>
      </c>
      <c r="Q175" s="11">
        <f>YEAR(RecetteTransport2[[#This Row],[Date validation Optique]])</f>
        <v>1900</v>
      </c>
      <c r="S175" s="47" t="e">
        <f>#REF!+10</f>
        <v>#REF!</v>
      </c>
      <c r="T175" s="50" t="e">
        <f>_xlfn.ISOWEEKNUM(RecetteTransport2[[#This Row],[Date Achevement  Mécanique]])</f>
        <v>#REF!</v>
      </c>
      <c r="U175" s="50" t="e">
        <f>YEAR(RecetteTransport2[[#This Row],[Date Achevement  Mécanique]])</f>
        <v>#REF!</v>
      </c>
      <c r="V175" s="47"/>
      <c r="W175" s="50">
        <f>_xlfn.ISOWEEKNUM(RecetteTransport2[[#This Row],[Date de mesure]])</f>
        <v>52</v>
      </c>
      <c r="X175" s="11">
        <f>YEAR(RecetteTransport2[[#This Row],[Date de mesure]])</f>
        <v>1900</v>
      </c>
      <c r="Y175" s="47"/>
      <c r="Z175" s="50">
        <f>_xlfn.ISOWEEKNUM(RecetteTransport2[[#This Row],[Date envoie dossier mesure]])</f>
        <v>52</v>
      </c>
      <c r="AA175" s="50">
        <f>YEAR(RecetteTransport2[[#This Row],[Date envoie dossier mesure]])</f>
        <v>1900</v>
      </c>
      <c r="AB175" s="11"/>
      <c r="AC175" s="11"/>
      <c r="AE175" s="6" t="e">
        <f>RecetteTransport2[[#All],[Nb de reprises Optiques]]/#REF!</f>
        <v>#REF!</v>
      </c>
      <c r="AF175" s="6"/>
    </row>
    <row r="176" spans="1:32" x14ac:dyDescent="0.3">
      <c r="A176" t="s">
        <v>12</v>
      </c>
      <c r="B176" t="s">
        <v>225</v>
      </c>
      <c r="D176" t="s">
        <v>498</v>
      </c>
      <c r="G176" s="11"/>
      <c r="H176" s="11"/>
      <c r="I176" s="11"/>
      <c r="J176" s="11">
        <f>RecetteTransport2[[#All],[Fibres TC NOK]]</f>
        <v>0</v>
      </c>
      <c r="K176" s="50">
        <f>RecetteTransport2[[#All],[Valeur Critique]]</f>
        <v>0</v>
      </c>
      <c r="L176" s="50">
        <f t="shared" si="9"/>
        <v>0</v>
      </c>
      <c r="P176" s="11">
        <f xml:space="preserve"> _xlfn.ISOWEEKNUM(RecetteTransport2[[#This Row],[Date validation Optique]])</f>
        <v>52</v>
      </c>
      <c r="Q176" s="11">
        <f>YEAR(RecetteTransport2[[#This Row],[Date validation Optique]])</f>
        <v>1900</v>
      </c>
      <c r="S176" s="47" t="e">
        <f>#REF!+10</f>
        <v>#REF!</v>
      </c>
      <c r="T176" s="50" t="e">
        <f>_xlfn.ISOWEEKNUM(RecetteTransport2[[#This Row],[Date Achevement  Mécanique]])</f>
        <v>#REF!</v>
      </c>
      <c r="U176" s="50" t="e">
        <f>YEAR(RecetteTransport2[[#This Row],[Date Achevement  Mécanique]])</f>
        <v>#REF!</v>
      </c>
      <c r="V176" s="47"/>
      <c r="W176" s="50">
        <f>_xlfn.ISOWEEKNUM(RecetteTransport2[[#This Row],[Date de mesure]])</f>
        <v>52</v>
      </c>
      <c r="X176" s="11">
        <f>YEAR(RecetteTransport2[[#This Row],[Date de mesure]])</f>
        <v>1900</v>
      </c>
      <c r="Y176" s="47"/>
      <c r="Z176" s="50">
        <f>_xlfn.ISOWEEKNUM(RecetteTransport2[[#This Row],[Date envoie dossier mesure]])</f>
        <v>52</v>
      </c>
      <c r="AA176" s="50">
        <f>YEAR(RecetteTransport2[[#This Row],[Date envoie dossier mesure]])</f>
        <v>1900</v>
      </c>
      <c r="AB176" s="11"/>
      <c r="AC176" s="11"/>
      <c r="AE176" s="6" t="e">
        <f>RecetteTransport2[[#All],[Nb de reprises Optiques]]/#REF!</f>
        <v>#REF!</v>
      </c>
      <c r="AF176" s="6"/>
    </row>
    <row r="177" spans="1:32" x14ac:dyDescent="0.3">
      <c r="A177" t="s">
        <v>12</v>
      </c>
      <c r="B177" t="s">
        <v>225</v>
      </c>
      <c r="D177" t="s">
        <v>499</v>
      </c>
      <c r="G177" s="11"/>
      <c r="H177" s="11"/>
      <c r="I177" s="11"/>
      <c r="J177" s="11">
        <f>RecetteTransport2[[#All],[Fibres TC NOK]]</f>
        <v>0</v>
      </c>
      <c r="K177" s="50">
        <f>RecetteTransport2[[#All],[Valeur Critique]]</f>
        <v>0</v>
      </c>
      <c r="L177" s="50">
        <f t="shared" si="9"/>
        <v>0</v>
      </c>
      <c r="P177" s="11">
        <f xml:space="preserve"> _xlfn.ISOWEEKNUM(RecetteTransport2[[#This Row],[Date validation Optique]])</f>
        <v>52</v>
      </c>
      <c r="Q177" s="11">
        <f>YEAR(RecetteTransport2[[#This Row],[Date validation Optique]])</f>
        <v>1900</v>
      </c>
      <c r="S177" s="47" t="e">
        <f>#REF!+10</f>
        <v>#REF!</v>
      </c>
      <c r="T177" s="50" t="e">
        <f>_xlfn.ISOWEEKNUM(RecetteTransport2[[#This Row],[Date Achevement  Mécanique]])</f>
        <v>#REF!</v>
      </c>
      <c r="U177" s="50" t="e">
        <f>YEAR(RecetteTransport2[[#This Row],[Date Achevement  Mécanique]])</f>
        <v>#REF!</v>
      </c>
      <c r="V177" s="47"/>
      <c r="W177" s="50">
        <f>_xlfn.ISOWEEKNUM(RecetteTransport2[[#This Row],[Date de mesure]])</f>
        <v>52</v>
      </c>
      <c r="X177" s="11">
        <f>YEAR(RecetteTransport2[[#This Row],[Date de mesure]])</f>
        <v>1900</v>
      </c>
      <c r="Y177" s="47"/>
      <c r="Z177" s="50">
        <f>_xlfn.ISOWEEKNUM(RecetteTransport2[[#This Row],[Date envoie dossier mesure]])</f>
        <v>52</v>
      </c>
      <c r="AA177" s="50">
        <f>YEAR(RecetteTransport2[[#This Row],[Date envoie dossier mesure]])</f>
        <v>1900</v>
      </c>
      <c r="AB177" s="11"/>
      <c r="AC177" s="11"/>
      <c r="AE177" s="6" t="e">
        <f>RecetteTransport2[[#All],[Nb de reprises Optiques]]/#REF!</f>
        <v>#REF!</v>
      </c>
      <c r="AF177" s="6"/>
    </row>
    <row r="178" spans="1:32" hidden="1" x14ac:dyDescent="0.3">
      <c r="A178" t="s">
        <v>12</v>
      </c>
      <c r="B178" t="s">
        <v>13</v>
      </c>
      <c r="C178" t="s">
        <v>41</v>
      </c>
      <c r="D178" t="s">
        <v>215</v>
      </c>
      <c r="F178" t="s">
        <v>397</v>
      </c>
      <c r="G178" s="11" t="s">
        <v>29</v>
      </c>
      <c r="H178" s="11" t="s">
        <v>29</v>
      </c>
      <c r="I178" s="11" t="s">
        <v>29</v>
      </c>
      <c r="J178" s="11">
        <f>RecetteTransport2[[#All],[Fibres TC NOK]]</f>
        <v>0</v>
      </c>
      <c r="K178" s="50">
        <f>RecetteTransport2[[#All],[Valeur Critique]]</f>
        <v>0</v>
      </c>
      <c r="L178" s="50">
        <f>AD:AD</f>
        <v>18</v>
      </c>
      <c r="N178" t="s">
        <v>193</v>
      </c>
      <c r="P178">
        <f xml:space="preserve"> _xlfn.ISOWEEKNUM(RecetteTransport2[[#This Row],[Date validation Optique]])</f>
        <v>52</v>
      </c>
      <c r="Q178">
        <f>YEAR(RecetteTransport2[[#This Row],[Date validation Optique]])</f>
        <v>1900</v>
      </c>
      <c r="R178" t="s">
        <v>193</v>
      </c>
      <c r="S178" s="2">
        <v>44253</v>
      </c>
      <c r="T178" s="50">
        <f>_xlfn.ISOWEEKNUM(RecetteTransport2[[#This Row],[Date Achevement  Mécanique]])</f>
        <v>8</v>
      </c>
      <c r="U178" s="50">
        <f>YEAR(RecetteTransport2[[#This Row],[Date Achevement  Mécanique]])</f>
        <v>2021</v>
      </c>
      <c r="V178" s="2"/>
      <c r="W178" s="50">
        <f>_xlfn.ISOWEEKNUM(RecetteTransport2[[#This Row],[Date de mesure]])</f>
        <v>52</v>
      </c>
      <c r="X178" s="11">
        <f>YEAR(RecetteTransport2[[#This Row],[Date de mesure]])</f>
        <v>1900</v>
      </c>
      <c r="Y178" s="2">
        <v>44204</v>
      </c>
      <c r="Z178" s="50">
        <f>_xlfn.ISOWEEKNUM(RecetteTransport2[[#This Row],[Date envoie dossier mesure]])</f>
        <v>1</v>
      </c>
      <c r="AA178" s="50">
        <f>YEAR(RecetteTransport2[[#This Row],[Date envoie dossier mesure]])</f>
        <v>2021</v>
      </c>
      <c r="AB178" s="11">
        <v>0</v>
      </c>
      <c r="AC178" s="11">
        <v>0</v>
      </c>
      <c r="AD178" s="50">
        <v>18</v>
      </c>
      <c r="AE178" s="6" t="e">
        <f>RecetteTransport2[[#All],[Nb de reprises Optiques]]/#REF!</f>
        <v>#REF!</v>
      </c>
      <c r="AF178" s="6"/>
    </row>
    <row r="179" spans="1:32" hidden="1" x14ac:dyDescent="0.3">
      <c r="A179" t="s">
        <v>12</v>
      </c>
      <c r="B179" t="s">
        <v>13</v>
      </c>
      <c r="C179" t="s">
        <v>41</v>
      </c>
      <c r="D179" t="s">
        <v>281</v>
      </c>
      <c r="F179" t="s">
        <v>397</v>
      </c>
      <c r="G179" s="11" t="s">
        <v>29</v>
      </c>
      <c r="H179" s="11" t="s">
        <v>29</v>
      </c>
      <c r="I179" s="11" t="s">
        <v>29</v>
      </c>
      <c r="J179" s="11">
        <f>RecetteTransport2[[#All],[Fibres TC NOK]]</f>
        <v>3</v>
      </c>
      <c r="K179" s="50">
        <f>RecetteTransport2[[#All],[Valeur Critique]]</f>
        <v>0</v>
      </c>
      <c r="L179" s="50">
        <f>AD:AD</f>
        <v>26</v>
      </c>
      <c r="N179" t="s">
        <v>193</v>
      </c>
      <c r="P179">
        <f xml:space="preserve"> _xlfn.ISOWEEKNUM(RecetteTransport2[[#This Row],[Date validation Optique]])</f>
        <v>52</v>
      </c>
      <c r="Q179">
        <f>YEAR(RecetteTransport2[[#This Row],[Date validation Optique]])</f>
        <v>1900</v>
      </c>
      <c r="R179" t="s">
        <v>193</v>
      </c>
      <c r="S179" s="2">
        <v>44253</v>
      </c>
      <c r="T179" s="50">
        <f>_xlfn.ISOWEEKNUM(RecetteTransport2[[#This Row],[Date Achevement  Mécanique]])</f>
        <v>8</v>
      </c>
      <c r="U179" s="50">
        <f>YEAR(RecetteTransport2[[#This Row],[Date Achevement  Mécanique]])</f>
        <v>2021</v>
      </c>
      <c r="V179" s="2">
        <v>44253</v>
      </c>
      <c r="W179" s="50">
        <f>_xlfn.ISOWEEKNUM(RecetteTransport2[[#This Row],[Date de mesure]])</f>
        <v>8</v>
      </c>
      <c r="X179" s="11">
        <f>YEAR(RecetteTransport2[[#This Row],[Date de mesure]])</f>
        <v>2021</v>
      </c>
      <c r="Y179" s="2">
        <v>44252</v>
      </c>
      <c r="Z179" s="50">
        <f>_xlfn.ISOWEEKNUM(RecetteTransport2[[#This Row],[Date envoie dossier mesure]])</f>
        <v>8</v>
      </c>
      <c r="AA179" s="50">
        <f>YEAR(RecetteTransport2[[#This Row],[Date envoie dossier mesure]])</f>
        <v>2021</v>
      </c>
      <c r="AB179" s="11">
        <v>3</v>
      </c>
      <c r="AC179" s="11">
        <v>0</v>
      </c>
      <c r="AD179" s="50">
        <v>26</v>
      </c>
      <c r="AE179" s="6" t="e">
        <f>RecetteTransport2[[#All],[Nb de reprises Optiques]]/#REF!</f>
        <v>#REF!</v>
      </c>
      <c r="AF179" s="6"/>
    </row>
    <row r="180" spans="1:32" hidden="1" x14ac:dyDescent="0.3">
      <c r="A180" t="s">
        <v>12</v>
      </c>
      <c r="B180" t="s">
        <v>13</v>
      </c>
      <c r="C180" t="s">
        <v>41</v>
      </c>
      <c r="D180" t="s">
        <v>500</v>
      </c>
      <c r="F180" t="s">
        <v>397</v>
      </c>
      <c r="G180" s="11" t="s">
        <v>29</v>
      </c>
      <c r="H180" s="11" t="s">
        <v>29</v>
      </c>
      <c r="I180" s="11" t="s">
        <v>29</v>
      </c>
      <c r="J180" s="11">
        <f>RecetteTransport2[[#All],[Fibres TC NOK]]</f>
        <v>1</v>
      </c>
      <c r="K180" s="50">
        <f>RecetteTransport2[[#All],[Valeur Critique]]</f>
        <v>1</v>
      </c>
      <c r="L180" s="50">
        <f>AD:AD</f>
        <v>22</v>
      </c>
      <c r="N180" t="s">
        <v>193</v>
      </c>
      <c r="P180" s="11">
        <f xml:space="preserve"> _xlfn.ISOWEEKNUM(RecetteTransport2[[#This Row],[Date validation Optique]])</f>
        <v>52</v>
      </c>
      <c r="Q180" s="11">
        <f>YEAR(RecetteTransport2[[#This Row],[Date validation Optique]])</f>
        <v>1900</v>
      </c>
      <c r="R180" t="s">
        <v>193</v>
      </c>
      <c r="S180" s="2">
        <v>44253</v>
      </c>
      <c r="T180" s="50">
        <f>_xlfn.ISOWEEKNUM(RecetteTransport2[[#This Row],[Date Achevement  Mécanique]])</f>
        <v>8</v>
      </c>
      <c r="U180" s="50">
        <f>YEAR(RecetteTransport2[[#This Row],[Date Achevement  Mécanique]])</f>
        <v>2021</v>
      </c>
      <c r="V180" s="2">
        <v>44257</v>
      </c>
      <c r="W180" s="50">
        <f>_xlfn.ISOWEEKNUM(RecetteTransport2[[#This Row],[Date de mesure]])</f>
        <v>9</v>
      </c>
      <c r="X180" s="11">
        <f>YEAR(RecetteTransport2[[#This Row],[Date de mesure]])</f>
        <v>2021</v>
      </c>
      <c r="Y180" s="2">
        <v>44256</v>
      </c>
      <c r="Z180" s="50">
        <f>_xlfn.ISOWEEKNUM(RecetteTransport2[[#This Row],[Date envoie dossier mesure]])</f>
        <v>9</v>
      </c>
      <c r="AA180" s="50">
        <f>YEAR(RecetteTransport2[[#This Row],[Date envoie dossier mesure]])</f>
        <v>2021</v>
      </c>
      <c r="AB180" s="11">
        <v>1</v>
      </c>
      <c r="AC180" s="11">
        <v>1</v>
      </c>
      <c r="AD180" s="50">
        <v>22</v>
      </c>
      <c r="AE180" s="6" t="e">
        <f>RecetteTransport2[[#All],[Nb de reprises Optiques]]/#REF!</f>
        <v>#REF!</v>
      </c>
      <c r="AF180" s="6"/>
    </row>
    <row r="181" spans="1:32" hidden="1" x14ac:dyDescent="0.3">
      <c r="A181" t="s">
        <v>12</v>
      </c>
      <c r="B181" t="s">
        <v>13</v>
      </c>
      <c r="C181" t="s">
        <v>41</v>
      </c>
      <c r="D181" t="s">
        <v>501</v>
      </c>
      <c r="F181" t="s">
        <v>397</v>
      </c>
      <c r="G181" s="11" t="s">
        <v>29</v>
      </c>
      <c r="H181" s="11" t="s">
        <v>29</v>
      </c>
      <c r="I181" s="11" t="s">
        <v>29</v>
      </c>
      <c r="J181" s="11">
        <v>2</v>
      </c>
      <c r="K181" s="50">
        <v>1</v>
      </c>
      <c r="L181" s="50">
        <v>29</v>
      </c>
      <c r="N181" t="s">
        <v>193</v>
      </c>
      <c r="P181" s="11">
        <f xml:space="preserve"> _xlfn.ISOWEEKNUM(RecetteTransport2[[#This Row],[Date validation Optique]])</f>
        <v>52</v>
      </c>
      <c r="Q181" s="11">
        <f>YEAR(RecetteTransport2[[#This Row],[Date validation Optique]])</f>
        <v>1900</v>
      </c>
      <c r="R181" t="s">
        <v>193</v>
      </c>
      <c r="S181" s="2">
        <v>44253</v>
      </c>
      <c r="T181" s="50">
        <f>_xlfn.ISOWEEKNUM(RecetteTransport2[[#This Row],[Date Achevement  Mécanique]])</f>
        <v>8</v>
      </c>
      <c r="U181" s="50">
        <f>YEAR(RecetteTransport2[[#This Row],[Date Achevement  Mécanique]])</f>
        <v>2021</v>
      </c>
      <c r="V181" s="2">
        <v>44257</v>
      </c>
      <c r="W181" s="50">
        <f>_xlfn.ISOWEEKNUM(RecetteTransport2[[#This Row],[Date de mesure]])</f>
        <v>9</v>
      </c>
      <c r="X181" s="11">
        <f>YEAR(RecetteTransport2[[#This Row],[Date de mesure]])</f>
        <v>2021</v>
      </c>
      <c r="Y181" s="2">
        <v>44256</v>
      </c>
      <c r="Z181" s="50">
        <f>_xlfn.ISOWEEKNUM(RecetteTransport2[[#This Row],[Date envoie dossier mesure]])</f>
        <v>9</v>
      </c>
      <c r="AA181" s="50">
        <f>YEAR(RecetteTransport2[[#This Row],[Date envoie dossier mesure]])</f>
        <v>2021</v>
      </c>
      <c r="AB181" s="11">
        <v>2</v>
      </c>
      <c r="AC181" s="11">
        <v>1</v>
      </c>
      <c r="AD181" s="50">
        <v>29</v>
      </c>
      <c r="AE181" s="6" t="e">
        <f>RecetteTransport2[[#All],[Nb de reprises Optiques]]/#REF!</f>
        <v>#REF!</v>
      </c>
      <c r="AF181" s="6"/>
    </row>
    <row r="182" spans="1:32" hidden="1" x14ac:dyDescent="0.3">
      <c r="A182" t="s">
        <v>12</v>
      </c>
      <c r="B182" t="s">
        <v>13</v>
      </c>
      <c r="C182" t="s">
        <v>41</v>
      </c>
      <c r="D182" t="s">
        <v>502</v>
      </c>
      <c r="F182" t="s">
        <v>397</v>
      </c>
      <c r="G182" s="11" t="s">
        <v>29</v>
      </c>
      <c r="H182" s="11" t="s">
        <v>29</v>
      </c>
      <c r="I182" s="11" t="s">
        <v>29</v>
      </c>
      <c r="J182" s="11">
        <f>RecetteTransport2[[#All],[Fibres TC NOK]]</f>
        <v>0</v>
      </c>
      <c r="K182" s="50">
        <f>RecetteTransport2[[#All],[Valeur Critique]]</f>
        <v>2</v>
      </c>
      <c r="L182" s="50">
        <f>AD:AD</f>
        <v>19</v>
      </c>
      <c r="N182" t="s">
        <v>193</v>
      </c>
      <c r="P182" s="11">
        <f xml:space="preserve"> _xlfn.ISOWEEKNUM(RecetteTransport2[[#This Row],[Date validation Optique]])</f>
        <v>52</v>
      </c>
      <c r="Q182" s="11">
        <f>YEAR(RecetteTransport2[[#This Row],[Date validation Optique]])</f>
        <v>1900</v>
      </c>
      <c r="R182" t="s">
        <v>193</v>
      </c>
      <c r="S182" s="2">
        <v>44253</v>
      </c>
      <c r="T182" s="50">
        <f>_xlfn.ISOWEEKNUM(RecetteTransport2[[#This Row],[Date Achevement  Mécanique]])</f>
        <v>8</v>
      </c>
      <c r="U182" s="50">
        <f>YEAR(RecetteTransport2[[#This Row],[Date Achevement  Mécanique]])</f>
        <v>2021</v>
      </c>
      <c r="V182" s="2">
        <v>44257</v>
      </c>
      <c r="W182" s="50">
        <f>_xlfn.ISOWEEKNUM(RecetteTransport2[[#This Row],[Date de mesure]])</f>
        <v>9</v>
      </c>
      <c r="X182" s="11">
        <f>YEAR(RecetteTransport2[[#This Row],[Date de mesure]])</f>
        <v>2021</v>
      </c>
      <c r="Y182" s="2">
        <v>44256</v>
      </c>
      <c r="Z182" s="50">
        <f>_xlfn.ISOWEEKNUM(RecetteTransport2[[#This Row],[Date envoie dossier mesure]])</f>
        <v>9</v>
      </c>
      <c r="AA182" s="50">
        <f>YEAR(RecetteTransport2[[#This Row],[Date envoie dossier mesure]])</f>
        <v>2021</v>
      </c>
      <c r="AB182" s="11">
        <v>0</v>
      </c>
      <c r="AC182" s="11">
        <v>2</v>
      </c>
      <c r="AD182" s="50">
        <v>19</v>
      </c>
      <c r="AE182" s="6" t="e">
        <f>RecetteTransport2[[#All],[Nb de reprises Optiques]]/#REF!</f>
        <v>#REF!</v>
      </c>
      <c r="AF182" s="6"/>
    </row>
    <row r="183" spans="1:32" hidden="1" x14ac:dyDescent="0.3">
      <c r="A183" t="s">
        <v>12</v>
      </c>
      <c r="B183" t="s">
        <v>13</v>
      </c>
      <c r="C183" t="s">
        <v>41</v>
      </c>
      <c r="D183" t="s">
        <v>503</v>
      </c>
      <c r="F183" t="s">
        <v>397</v>
      </c>
      <c r="G183" s="11" t="s">
        <v>29</v>
      </c>
      <c r="H183" s="11" t="s">
        <v>29</v>
      </c>
      <c r="I183" s="11" t="s">
        <v>29</v>
      </c>
      <c r="J183" s="11">
        <f>RecetteTransport2[[#All],[Fibres TC NOK]]</f>
        <v>1</v>
      </c>
      <c r="K183" s="50">
        <f>RecetteTransport2[[#All],[Valeur Critique]]</f>
        <v>0</v>
      </c>
      <c r="L183" s="50">
        <f>AD:AD</f>
        <v>3</v>
      </c>
      <c r="N183" t="s">
        <v>193</v>
      </c>
      <c r="P183" s="11">
        <f xml:space="preserve"> _xlfn.ISOWEEKNUM(RecetteTransport2[[#This Row],[Date validation Optique]])</f>
        <v>52</v>
      </c>
      <c r="Q183" s="11">
        <f>YEAR(RecetteTransport2[[#This Row],[Date validation Optique]])</f>
        <v>1900</v>
      </c>
      <c r="R183" t="s">
        <v>193</v>
      </c>
      <c r="S183" s="2">
        <v>44253</v>
      </c>
      <c r="T183" s="50">
        <f>_xlfn.ISOWEEKNUM(RecetteTransport2[[#This Row],[Date Achevement  Mécanique]])</f>
        <v>8</v>
      </c>
      <c r="U183" s="50">
        <f>YEAR(RecetteTransport2[[#This Row],[Date Achevement  Mécanique]])</f>
        <v>2021</v>
      </c>
      <c r="V183" s="2">
        <v>44253</v>
      </c>
      <c r="W183" s="50">
        <f>_xlfn.ISOWEEKNUM(RecetteTransport2[[#This Row],[Date de mesure]])</f>
        <v>8</v>
      </c>
      <c r="X183" s="11">
        <f>YEAR(RecetteTransport2[[#This Row],[Date de mesure]])</f>
        <v>2021</v>
      </c>
      <c r="Y183" s="2">
        <v>44252</v>
      </c>
      <c r="Z183" s="50">
        <f>_xlfn.ISOWEEKNUM(RecetteTransport2[[#This Row],[Date envoie dossier mesure]])</f>
        <v>8</v>
      </c>
      <c r="AA183" s="50">
        <f>YEAR(RecetteTransport2[[#This Row],[Date envoie dossier mesure]])</f>
        <v>2021</v>
      </c>
      <c r="AB183" s="11">
        <v>1</v>
      </c>
      <c r="AC183" s="11">
        <v>0</v>
      </c>
      <c r="AD183" s="50">
        <v>3</v>
      </c>
      <c r="AE183" s="6" t="e">
        <f>RecetteTransport2[[#All],[Nb de reprises Optiques]]/#REF!</f>
        <v>#REF!</v>
      </c>
      <c r="AF183" s="6"/>
    </row>
    <row r="184" spans="1:32" hidden="1" x14ac:dyDescent="0.3">
      <c r="A184" t="s">
        <v>12</v>
      </c>
      <c r="B184" t="s">
        <v>13</v>
      </c>
      <c r="C184" t="s">
        <v>41</v>
      </c>
      <c r="D184" t="s">
        <v>504</v>
      </c>
      <c r="F184" t="s">
        <v>397</v>
      </c>
      <c r="G184" s="11" t="s">
        <v>29</v>
      </c>
      <c r="H184" s="11" t="s">
        <v>29</v>
      </c>
      <c r="I184" s="11" t="s">
        <v>29</v>
      </c>
      <c r="J184" s="11">
        <f>RecetteTransport2[[#All],[Fibres TC NOK]]</f>
        <v>0</v>
      </c>
      <c r="K184" s="50">
        <f>RecetteTransport2[[#All],[Valeur Critique]]</f>
        <v>0</v>
      </c>
      <c r="L184" s="50">
        <f>AD:AD</f>
        <v>13</v>
      </c>
      <c r="N184" t="s">
        <v>193</v>
      </c>
      <c r="P184" s="11">
        <f xml:space="preserve"> _xlfn.ISOWEEKNUM(RecetteTransport2[[#This Row],[Date validation Optique]])</f>
        <v>52</v>
      </c>
      <c r="Q184" s="11">
        <f>YEAR(RecetteTransport2[[#This Row],[Date validation Optique]])</f>
        <v>1900</v>
      </c>
      <c r="R184" t="s">
        <v>193</v>
      </c>
      <c r="S184" s="2">
        <v>44253</v>
      </c>
      <c r="T184" s="50">
        <f>_xlfn.ISOWEEKNUM(RecetteTransport2[[#This Row],[Date Achevement  Mécanique]])</f>
        <v>8</v>
      </c>
      <c r="U184" s="50">
        <f>YEAR(RecetteTransport2[[#This Row],[Date Achevement  Mécanique]])</f>
        <v>2021</v>
      </c>
      <c r="V184" s="2">
        <v>44253</v>
      </c>
      <c r="W184" s="50">
        <f>_xlfn.ISOWEEKNUM(RecetteTransport2[[#This Row],[Date de mesure]])</f>
        <v>8</v>
      </c>
      <c r="X184" s="11">
        <f>YEAR(RecetteTransport2[[#This Row],[Date de mesure]])</f>
        <v>2021</v>
      </c>
      <c r="Y184" s="2">
        <v>44252</v>
      </c>
      <c r="Z184" s="50">
        <f>_xlfn.ISOWEEKNUM(RecetteTransport2[[#This Row],[Date envoie dossier mesure]])</f>
        <v>8</v>
      </c>
      <c r="AA184" s="50">
        <f>YEAR(RecetteTransport2[[#This Row],[Date envoie dossier mesure]])</f>
        <v>2021</v>
      </c>
      <c r="AB184" s="11">
        <v>0</v>
      </c>
      <c r="AC184" s="11">
        <v>0</v>
      </c>
      <c r="AD184" s="50">
        <v>13</v>
      </c>
      <c r="AE184" s="6" t="e">
        <f>RecetteTransport2[[#All],[Nb de reprises Optiques]]/#REF!</f>
        <v>#REF!</v>
      </c>
      <c r="AF184" s="6"/>
    </row>
    <row r="185" spans="1:32" x14ac:dyDescent="0.3">
      <c r="A185" t="s">
        <v>12</v>
      </c>
      <c r="B185" t="s">
        <v>20</v>
      </c>
      <c r="C185" t="s">
        <v>361</v>
      </c>
      <c r="D185" t="s">
        <v>363</v>
      </c>
      <c r="G185" s="11"/>
      <c r="H185" s="11"/>
      <c r="I185" s="11"/>
      <c r="J185" s="11">
        <f>RecetteTransport2[[#All],[Fibres TC NOK]]</f>
        <v>0</v>
      </c>
      <c r="K185" s="50">
        <f>RecetteTransport2[[#All],[Valeur Critique]]</f>
        <v>0</v>
      </c>
      <c r="L185" s="50">
        <f t="shared" ref="L185:L188" si="10">AD:AD</f>
        <v>0</v>
      </c>
      <c r="P185">
        <f xml:space="preserve"> _xlfn.ISOWEEKNUM(RecetteTransport2[[#This Row],[Date validation Optique]])</f>
        <v>52</v>
      </c>
      <c r="Q185">
        <f>YEAR(RecetteTransport2[[#This Row],[Date validation Optique]])</f>
        <v>1900</v>
      </c>
      <c r="T185" s="50">
        <f>_xlfn.ISOWEEKNUM(RecetteTransport2[[#This Row],[Date Achevement  Mécanique]])</f>
        <v>52</v>
      </c>
      <c r="U185" s="50">
        <f>YEAR(RecetteTransport2[[#This Row],[Date Achevement  Mécanique]])</f>
        <v>1900</v>
      </c>
      <c r="V185" s="2"/>
      <c r="W185" s="50">
        <f>_xlfn.ISOWEEKNUM(RecetteTransport2[[#This Row],[Date de mesure]])</f>
        <v>52</v>
      </c>
      <c r="X185" s="11">
        <f>YEAR(RecetteTransport2[[#This Row],[Date de mesure]])</f>
        <v>1900</v>
      </c>
      <c r="Z185" s="50">
        <f>_xlfn.ISOWEEKNUM(RecetteTransport2[[#This Row],[Date envoie dossier mesure]])</f>
        <v>52</v>
      </c>
      <c r="AA185" s="50">
        <f>YEAR(RecetteTransport2[[#This Row],[Date envoie dossier mesure]])</f>
        <v>1900</v>
      </c>
      <c r="AB185" s="11"/>
      <c r="AC185" s="11"/>
      <c r="AE185" s="6" t="e">
        <f>RecetteTransport2[[#All],[Nb de reprises Optiques]]/#REF!</f>
        <v>#REF!</v>
      </c>
      <c r="AF185" s="6"/>
    </row>
    <row r="186" spans="1:32" x14ac:dyDescent="0.3">
      <c r="A186" t="s">
        <v>12</v>
      </c>
      <c r="B186" t="s">
        <v>20</v>
      </c>
      <c r="C186" t="s">
        <v>355</v>
      </c>
      <c r="D186" t="s">
        <v>417</v>
      </c>
      <c r="G186" s="11"/>
      <c r="H186" s="11"/>
      <c r="I186" s="11"/>
      <c r="J186" s="11">
        <f>RecetteTransport2[[#All],[Fibres TC NOK]]</f>
        <v>0</v>
      </c>
      <c r="K186" s="50">
        <f>RecetteTransport2[[#All],[Valeur Critique]]</f>
        <v>0</v>
      </c>
      <c r="L186" s="50">
        <f t="shared" si="10"/>
        <v>0</v>
      </c>
      <c r="P186">
        <f xml:space="preserve"> _xlfn.ISOWEEKNUM(RecetteTransport2[[#This Row],[Date validation Optique]])</f>
        <v>52</v>
      </c>
      <c r="Q186">
        <f>YEAR(RecetteTransport2[[#This Row],[Date validation Optique]])</f>
        <v>1900</v>
      </c>
      <c r="T186" s="50">
        <f>_xlfn.ISOWEEKNUM(RecetteTransport2[[#This Row],[Date Achevement  Mécanique]])</f>
        <v>52</v>
      </c>
      <c r="U186" s="50">
        <f>YEAR(RecetteTransport2[[#This Row],[Date Achevement  Mécanique]])</f>
        <v>1900</v>
      </c>
      <c r="V186" s="2"/>
      <c r="W186" s="50">
        <f>_xlfn.ISOWEEKNUM(RecetteTransport2[[#This Row],[Date de mesure]])</f>
        <v>52</v>
      </c>
      <c r="X186" s="11">
        <f>YEAR(RecetteTransport2[[#This Row],[Date de mesure]])</f>
        <v>1900</v>
      </c>
      <c r="Z186" s="50">
        <f>_xlfn.ISOWEEKNUM(RecetteTransport2[[#This Row],[Date envoie dossier mesure]])</f>
        <v>52</v>
      </c>
      <c r="AA186" s="50">
        <f>YEAR(RecetteTransport2[[#This Row],[Date envoie dossier mesure]])</f>
        <v>1900</v>
      </c>
      <c r="AB186" s="11"/>
      <c r="AC186" s="11"/>
      <c r="AE186" s="6" t="e">
        <f>RecetteTransport2[[#All],[Nb de reprises Optiques]]/#REF!</f>
        <v>#REF!</v>
      </c>
      <c r="AF186" s="6"/>
    </row>
    <row r="187" spans="1:32" x14ac:dyDescent="0.3">
      <c r="A187" t="s">
        <v>12</v>
      </c>
      <c r="B187" t="s">
        <v>20</v>
      </c>
      <c r="C187" t="s">
        <v>355</v>
      </c>
      <c r="D187" t="s">
        <v>356</v>
      </c>
      <c r="G187" s="11"/>
      <c r="H187" s="11"/>
      <c r="I187" s="11"/>
      <c r="J187" s="11">
        <f>RecetteTransport2[[#All],[Fibres TC NOK]]</f>
        <v>0</v>
      </c>
      <c r="K187" s="50">
        <f>RecetteTransport2[[#All],[Valeur Critique]]</f>
        <v>0</v>
      </c>
      <c r="L187" s="50">
        <f t="shared" si="10"/>
        <v>0</v>
      </c>
      <c r="P187">
        <f xml:space="preserve"> _xlfn.ISOWEEKNUM(RecetteTransport2[[#This Row],[Date validation Optique]])</f>
        <v>52</v>
      </c>
      <c r="Q187">
        <f>YEAR(RecetteTransport2[[#This Row],[Date validation Optique]])</f>
        <v>1900</v>
      </c>
      <c r="T187" s="50">
        <f>_xlfn.ISOWEEKNUM(RecetteTransport2[[#This Row],[Date Achevement  Mécanique]])</f>
        <v>52</v>
      </c>
      <c r="U187" s="50">
        <f>YEAR(RecetteTransport2[[#This Row],[Date Achevement  Mécanique]])</f>
        <v>1900</v>
      </c>
      <c r="V187" s="2"/>
      <c r="W187" s="50">
        <f>_xlfn.ISOWEEKNUM(RecetteTransport2[[#This Row],[Date de mesure]])</f>
        <v>52</v>
      </c>
      <c r="X187" s="11">
        <f>YEAR(RecetteTransport2[[#This Row],[Date de mesure]])</f>
        <v>1900</v>
      </c>
      <c r="Z187" s="50">
        <f>_xlfn.ISOWEEKNUM(RecetteTransport2[[#This Row],[Date envoie dossier mesure]])</f>
        <v>52</v>
      </c>
      <c r="AA187" s="50">
        <f>YEAR(RecetteTransport2[[#This Row],[Date envoie dossier mesure]])</f>
        <v>1900</v>
      </c>
      <c r="AB187" s="11"/>
      <c r="AC187" s="11"/>
      <c r="AE187" s="6" t="e">
        <f>RecetteTransport2[[#All],[Nb de reprises Optiques]]/#REF!</f>
        <v>#REF!</v>
      </c>
      <c r="AF187" s="6"/>
    </row>
    <row r="188" spans="1:32" x14ac:dyDescent="0.3">
      <c r="A188" t="s">
        <v>12</v>
      </c>
      <c r="B188" t="s">
        <v>20</v>
      </c>
      <c r="C188" t="s">
        <v>355</v>
      </c>
      <c r="D188" t="s">
        <v>359</v>
      </c>
      <c r="G188" s="11"/>
      <c r="H188" s="11"/>
      <c r="I188" s="11"/>
      <c r="J188" s="11">
        <f>RecetteTransport2[[#All],[Fibres TC NOK]]</f>
        <v>0</v>
      </c>
      <c r="K188" s="50">
        <f>RecetteTransport2[[#All],[Valeur Critique]]</f>
        <v>0</v>
      </c>
      <c r="L188" s="50">
        <f t="shared" si="10"/>
        <v>0</v>
      </c>
      <c r="P188">
        <f xml:space="preserve"> _xlfn.ISOWEEKNUM(RecetteTransport2[[#This Row],[Date validation Optique]])</f>
        <v>52</v>
      </c>
      <c r="Q188">
        <f>YEAR(RecetteTransport2[[#This Row],[Date validation Optique]])</f>
        <v>1900</v>
      </c>
      <c r="T188" s="50">
        <f>_xlfn.ISOWEEKNUM(RecetteTransport2[[#This Row],[Date Achevement  Mécanique]])</f>
        <v>52</v>
      </c>
      <c r="U188" s="50">
        <f>YEAR(RecetteTransport2[[#This Row],[Date Achevement  Mécanique]])</f>
        <v>1900</v>
      </c>
      <c r="V188" s="2"/>
      <c r="W188" s="50">
        <f>_xlfn.ISOWEEKNUM(RecetteTransport2[[#This Row],[Date de mesure]])</f>
        <v>52</v>
      </c>
      <c r="X188" s="11">
        <f>YEAR(RecetteTransport2[[#This Row],[Date de mesure]])</f>
        <v>1900</v>
      </c>
      <c r="Z188" s="50">
        <f>_xlfn.ISOWEEKNUM(RecetteTransport2[[#This Row],[Date envoie dossier mesure]])</f>
        <v>52</v>
      </c>
      <c r="AA188" s="50">
        <f>YEAR(RecetteTransport2[[#This Row],[Date envoie dossier mesure]])</f>
        <v>1900</v>
      </c>
      <c r="AB188" s="11"/>
      <c r="AC188" s="11"/>
      <c r="AE188" s="6" t="e">
        <f>RecetteTransport2[[#All],[Nb de reprises Optiques]]/#REF!</f>
        <v>#REF!</v>
      </c>
      <c r="AF188" s="6"/>
    </row>
    <row r="189" spans="1:32" hidden="1" x14ac:dyDescent="0.3">
      <c r="A189" t="s">
        <v>12</v>
      </c>
      <c r="B189" t="s">
        <v>20</v>
      </c>
      <c r="C189" t="s">
        <v>361</v>
      </c>
      <c r="D189" t="s">
        <v>364</v>
      </c>
      <c r="G189" s="11"/>
      <c r="H189" s="11" t="s">
        <v>29</v>
      </c>
      <c r="I189" s="11" t="s">
        <v>29</v>
      </c>
      <c r="J189" s="11">
        <f>RecetteTransport2[[#All],[Fibres TC NOK]]</f>
        <v>0</v>
      </c>
      <c r="K189" s="50">
        <f>RecetteTransport2[[#All],[Valeur Critique]]</f>
        <v>0</v>
      </c>
      <c r="L189" s="50">
        <f>AD:AD</f>
        <v>0</v>
      </c>
      <c r="N189" t="s">
        <v>389</v>
      </c>
      <c r="O189" s="2">
        <v>44235</v>
      </c>
      <c r="P189">
        <f xml:space="preserve"> _xlfn.ISOWEEKNUM(RecetteTransport2[[#This Row],[Date validation Optique]])</f>
        <v>6</v>
      </c>
      <c r="Q189">
        <f>YEAR(RecetteTransport2[[#This Row],[Date validation Optique]])</f>
        <v>2021</v>
      </c>
      <c r="T189" s="50">
        <f>_xlfn.ISOWEEKNUM(RecetteTransport2[[#This Row],[Date Achevement  Mécanique]])</f>
        <v>52</v>
      </c>
      <c r="U189" s="50">
        <f>YEAR(RecetteTransport2[[#This Row],[Date Achevement  Mécanique]])</f>
        <v>1900</v>
      </c>
      <c r="V189" s="2"/>
      <c r="W189" s="50">
        <f>_xlfn.ISOWEEKNUM(RecetteTransport2[[#This Row],[Date de mesure]])</f>
        <v>52</v>
      </c>
      <c r="X189" s="11">
        <f>YEAR(RecetteTransport2[[#This Row],[Date de mesure]])</f>
        <v>1900</v>
      </c>
      <c r="Z189" s="50">
        <f>_xlfn.ISOWEEKNUM(RecetteTransport2[[#This Row],[Date envoie dossier mesure]])</f>
        <v>52</v>
      </c>
      <c r="AA189" s="50">
        <f>YEAR(RecetteTransport2[[#This Row],[Date envoie dossier mesure]])</f>
        <v>1900</v>
      </c>
      <c r="AB189" s="11">
        <v>0</v>
      </c>
      <c r="AC189" s="11">
        <v>0</v>
      </c>
      <c r="AD189" s="50">
        <v>0</v>
      </c>
      <c r="AE189" s="6" t="e">
        <f>RecetteTransport2[[#All],[Nb de reprises Optiques]]/#REF!</f>
        <v>#REF!</v>
      </c>
      <c r="AF189" s="6"/>
    </row>
    <row r="190" spans="1:32" x14ac:dyDescent="0.3">
      <c r="A190" t="s">
        <v>12</v>
      </c>
      <c r="B190" t="s">
        <v>20</v>
      </c>
      <c r="C190" t="s">
        <v>355</v>
      </c>
      <c r="D190" t="s">
        <v>360</v>
      </c>
      <c r="G190" s="11"/>
      <c r="H190" s="11"/>
      <c r="I190" s="11"/>
      <c r="J190" s="11">
        <f>RecetteTransport2[[#All],[Fibres TC NOK]]</f>
        <v>0</v>
      </c>
      <c r="K190" s="50">
        <f>RecetteTransport2[[#All],[Valeur Critique]]</f>
        <v>0</v>
      </c>
      <c r="L190" s="50">
        <f>AD:AD</f>
        <v>0</v>
      </c>
      <c r="P190">
        <f xml:space="preserve"> _xlfn.ISOWEEKNUM(RecetteTransport2[[#This Row],[Date validation Optique]])</f>
        <v>52</v>
      </c>
      <c r="Q190">
        <f>YEAR(RecetteTransport2[[#This Row],[Date validation Optique]])</f>
        <v>1900</v>
      </c>
      <c r="T190" s="50">
        <f>_xlfn.ISOWEEKNUM(RecetteTransport2[[#This Row],[Date Achevement  Mécanique]])</f>
        <v>52</v>
      </c>
      <c r="U190" s="50">
        <f>YEAR(RecetteTransport2[[#This Row],[Date Achevement  Mécanique]])</f>
        <v>1900</v>
      </c>
      <c r="V190" s="2"/>
      <c r="W190" s="50">
        <f>_xlfn.ISOWEEKNUM(RecetteTransport2[[#This Row],[Date de mesure]])</f>
        <v>52</v>
      </c>
      <c r="X190" s="11">
        <f>YEAR(RecetteTransport2[[#This Row],[Date de mesure]])</f>
        <v>1900</v>
      </c>
      <c r="Z190" s="50">
        <f>_xlfn.ISOWEEKNUM(RecetteTransport2[[#This Row],[Date envoie dossier mesure]])</f>
        <v>52</v>
      </c>
      <c r="AA190" s="50">
        <f>YEAR(RecetteTransport2[[#This Row],[Date envoie dossier mesure]])</f>
        <v>1900</v>
      </c>
      <c r="AB190" s="11"/>
      <c r="AC190" s="11"/>
      <c r="AE190" s="6" t="e">
        <f>RecetteTransport2[[#All],[Nb de reprises Optiques]]/#REF!</f>
        <v>#REF!</v>
      </c>
      <c r="AF190" s="6"/>
    </row>
    <row r="191" spans="1:32" hidden="1" x14ac:dyDescent="0.3">
      <c r="A191" t="s">
        <v>12</v>
      </c>
      <c r="B191" t="s">
        <v>20</v>
      </c>
      <c r="C191" t="s">
        <v>361</v>
      </c>
      <c r="D191" t="s">
        <v>362</v>
      </c>
      <c r="G191" s="11"/>
      <c r="H191" s="11" t="s">
        <v>29</v>
      </c>
      <c r="I191" s="11" t="s">
        <v>29</v>
      </c>
      <c r="J191" s="11">
        <f>RecetteTransport2[[#All],[Fibres TC NOK]]</f>
        <v>0</v>
      </c>
      <c r="K191" s="50">
        <f>RecetteTransport2[[#All],[Valeur Critique]]</f>
        <v>0</v>
      </c>
      <c r="L191" s="50">
        <f>AD:AD</f>
        <v>11</v>
      </c>
      <c r="N191" t="s">
        <v>65</v>
      </c>
      <c r="P191">
        <f xml:space="preserve"> _xlfn.ISOWEEKNUM(RecetteTransport2[[#This Row],[Date validation Optique]])</f>
        <v>52</v>
      </c>
      <c r="Q191">
        <f>YEAR(RecetteTransport2[[#This Row],[Date validation Optique]])</f>
        <v>1900</v>
      </c>
      <c r="T191" s="50">
        <f>_xlfn.ISOWEEKNUM(RecetteTransport2[[#This Row],[Date Achevement  Mécanique]])</f>
        <v>52</v>
      </c>
      <c r="U191" s="50">
        <f>YEAR(RecetteTransport2[[#This Row],[Date Achevement  Mécanique]])</f>
        <v>1900</v>
      </c>
      <c r="V191" s="2">
        <v>44232</v>
      </c>
      <c r="W191" s="50">
        <f>_xlfn.ISOWEEKNUM(RecetteTransport2[[#This Row],[Date de mesure]])</f>
        <v>5</v>
      </c>
      <c r="X191" s="11">
        <f>YEAR(RecetteTransport2[[#This Row],[Date de mesure]])</f>
        <v>2021</v>
      </c>
      <c r="Y191" s="2">
        <v>44235</v>
      </c>
      <c r="Z191" s="50">
        <f>_xlfn.ISOWEEKNUM(RecetteTransport2[[#This Row],[Date envoie dossier mesure]])</f>
        <v>6</v>
      </c>
      <c r="AA191" s="50">
        <f>YEAR(RecetteTransport2[[#This Row],[Date envoie dossier mesure]])</f>
        <v>2021</v>
      </c>
      <c r="AB191" s="11">
        <v>0</v>
      </c>
      <c r="AC191" s="11">
        <v>0</v>
      </c>
      <c r="AD191" s="50">
        <v>11</v>
      </c>
      <c r="AE191" s="6" t="e">
        <f>RecetteTransport2[[#All],[Nb de reprises Optiques]]/#REF!</f>
        <v>#REF!</v>
      </c>
      <c r="AF191" s="6"/>
    </row>
    <row r="192" spans="1:32" hidden="1" x14ac:dyDescent="0.3">
      <c r="A192" t="s">
        <v>12</v>
      </c>
      <c r="B192" t="s">
        <v>20</v>
      </c>
      <c r="C192" t="s">
        <v>254</v>
      </c>
      <c r="D192" t="s">
        <v>266</v>
      </c>
      <c r="G192" s="11"/>
      <c r="H192" s="11" t="s">
        <v>29</v>
      </c>
      <c r="I192" s="11" t="s">
        <v>29</v>
      </c>
      <c r="J192" s="11">
        <f>RecetteTransport2[[#All],[Fibres TC NOK]]</f>
        <v>0</v>
      </c>
      <c r="K192" s="50">
        <f>RecetteTransport2[[#All],[Valeur Critique]]</f>
        <v>0</v>
      </c>
      <c r="L192" s="50">
        <f>AD:AD</f>
        <v>10</v>
      </c>
      <c r="N192" t="s">
        <v>65</v>
      </c>
      <c r="P192">
        <f xml:space="preserve"> _xlfn.ISOWEEKNUM(RecetteTransport2[[#This Row],[Date validation Optique]])</f>
        <v>52</v>
      </c>
      <c r="Q192">
        <f>YEAR(RecetteTransport2[[#This Row],[Date validation Optique]])</f>
        <v>1900</v>
      </c>
      <c r="T192" s="50">
        <f>_xlfn.ISOWEEKNUM(RecetteTransport2[[#This Row],[Date Achevement  Mécanique]])</f>
        <v>52</v>
      </c>
      <c r="U192" s="50">
        <f>YEAR(RecetteTransport2[[#This Row],[Date Achevement  Mécanique]])</f>
        <v>1900</v>
      </c>
      <c r="V192" s="2"/>
      <c r="W192" s="50">
        <f>_xlfn.ISOWEEKNUM(RecetteTransport2[[#This Row],[Date de mesure]])</f>
        <v>52</v>
      </c>
      <c r="X192" s="11">
        <f>YEAR(RecetteTransport2[[#This Row],[Date de mesure]])</f>
        <v>1900</v>
      </c>
      <c r="Y192" s="2">
        <v>44212</v>
      </c>
      <c r="Z192" s="50">
        <f>_xlfn.ISOWEEKNUM(RecetteTransport2[[#This Row],[Date envoie dossier mesure]])</f>
        <v>2</v>
      </c>
      <c r="AA192" s="50">
        <f>YEAR(RecetteTransport2[[#This Row],[Date envoie dossier mesure]])</f>
        <v>2021</v>
      </c>
      <c r="AB192" s="11">
        <v>0</v>
      </c>
      <c r="AC192" s="11">
        <v>0</v>
      </c>
      <c r="AD192" s="50">
        <v>10</v>
      </c>
      <c r="AE192" s="6" t="e">
        <f>RecetteTransport2[[#All],[Nb de reprises Optiques]]/#REF!</f>
        <v>#REF!</v>
      </c>
      <c r="AF192" s="6"/>
    </row>
    <row r="193" spans="1:32" hidden="1" x14ac:dyDescent="0.3">
      <c r="A193" t="s">
        <v>12</v>
      </c>
      <c r="B193" t="s">
        <v>20</v>
      </c>
      <c r="C193" t="s">
        <v>254</v>
      </c>
      <c r="D193" t="s">
        <v>267</v>
      </c>
      <c r="G193" s="11"/>
      <c r="H193" s="11" t="s">
        <v>29</v>
      </c>
      <c r="I193" s="11" t="s">
        <v>29</v>
      </c>
      <c r="J193" s="11">
        <f>RecetteTransport2[[#All],[Fibres TC NOK]]</f>
        <v>0</v>
      </c>
      <c r="K193" s="50">
        <f>RecetteTransport2[[#All],[Valeur Critique]]</f>
        <v>0</v>
      </c>
      <c r="L193" s="50">
        <f>AD:AD</f>
        <v>28</v>
      </c>
      <c r="N193" t="s">
        <v>65</v>
      </c>
      <c r="P193">
        <f xml:space="preserve"> _xlfn.ISOWEEKNUM(RecetteTransport2[[#This Row],[Date validation Optique]])</f>
        <v>52</v>
      </c>
      <c r="Q193">
        <f>YEAR(RecetteTransport2[[#This Row],[Date validation Optique]])</f>
        <v>1900</v>
      </c>
      <c r="T193" s="50">
        <f>_xlfn.ISOWEEKNUM(RecetteTransport2[[#This Row],[Date Achevement  Mécanique]])</f>
        <v>52</v>
      </c>
      <c r="U193" s="50">
        <f>YEAR(RecetteTransport2[[#This Row],[Date Achevement  Mécanique]])</f>
        <v>1900</v>
      </c>
      <c r="V193" s="2"/>
      <c r="W193" s="50">
        <f>_xlfn.ISOWEEKNUM(RecetteTransport2[[#This Row],[Date de mesure]])</f>
        <v>52</v>
      </c>
      <c r="X193" s="11">
        <f>YEAR(RecetteTransport2[[#This Row],[Date de mesure]])</f>
        <v>1900</v>
      </c>
      <c r="Y193" s="2">
        <v>44212</v>
      </c>
      <c r="Z193" s="50">
        <f>_xlfn.ISOWEEKNUM(RecetteTransport2[[#This Row],[Date envoie dossier mesure]])</f>
        <v>2</v>
      </c>
      <c r="AA193" s="50">
        <f>YEAR(RecetteTransport2[[#This Row],[Date envoie dossier mesure]])</f>
        <v>2021</v>
      </c>
      <c r="AB193" s="11">
        <v>0</v>
      </c>
      <c r="AC193" s="11">
        <v>0</v>
      </c>
      <c r="AD193" s="50">
        <v>28</v>
      </c>
      <c r="AE193" s="6" t="e">
        <f>RecetteTransport2[[#All],[Nb de reprises Optiques]]/#REF!</f>
        <v>#REF!</v>
      </c>
      <c r="AF193" s="6"/>
    </row>
    <row r="194" spans="1:32" hidden="1" x14ac:dyDescent="0.3">
      <c r="A194" t="s">
        <v>12</v>
      </c>
      <c r="B194" t="s">
        <v>20</v>
      </c>
      <c r="C194" t="s">
        <v>327</v>
      </c>
      <c r="D194" t="s">
        <v>375</v>
      </c>
      <c r="G194" s="11"/>
      <c r="H194" s="11" t="s">
        <v>29</v>
      </c>
      <c r="I194" s="11" t="s">
        <v>29</v>
      </c>
      <c r="J194" s="11">
        <f>RecetteTransport2[[#All],[Fibres TC NOK]]</f>
        <v>0</v>
      </c>
      <c r="K194" s="50">
        <f>RecetteTransport2[[#All],[Valeur Critique]]</f>
        <v>0</v>
      </c>
      <c r="L194" s="50">
        <f>AD:AD</f>
        <v>13</v>
      </c>
      <c r="N194" t="s">
        <v>65</v>
      </c>
      <c r="P194">
        <f xml:space="preserve"> _xlfn.ISOWEEKNUM(RecetteTransport2[[#This Row],[Date validation Optique]])</f>
        <v>52</v>
      </c>
      <c r="Q194">
        <f>YEAR(RecetteTransport2[[#This Row],[Date validation Optique]])</f>
        <v>1900</v>
      </c>
      <c r="T194" s="50">
        <f>_xlfn.ISOWEEKNUM(RecetteTransport2[[#This Row],[Date Achevement  Mécanique]])</f>
        <v>52</v>
      </c>
      <c r="U194" s="50">
        <f>YEAR(RecetteTransport2[[#This Row],[Date Achevement  Mécanique]])</f>
        <v>1900</v>
      </c>
      <c r="V194" s="2"/>
      <c r="W194" s="50">
        <f>_xlfn.ISOWEEKNUM(RecetteTransport2[[#This Row],[Date de mesure]])</f>
        <v>52</v>
      </c>
      <c r="X194" s="11">
        <f>YEAR(RecetteTransport2[[#This Row],[Date de mesure]])</f>
        <v>1900</v>
      </c>
      <c r="Y194" s="2">
        <v>44221</v>
      </c>
      <c r="Z194" s="50">
        <f>_xlfn.ISOWEEKNUM(RecetteTransport2[[#This Row],[Date envoie dossier mesure]])</f>
        <v>4</v>
      </c>
      <c r="AA194" s="50">
        <f>YEAR(RecetteTransport2[[#This Row],[Date envoie dossier mesure]])</f>
        <v>2021</v>
      </c>
      <c r="AB194" s="11">
        <v>0</v>
      </c>
      <c r="AC194" s="11">
        <v>0</v>
      </c>
      <c r="AD194" s="50">
        <v>13</v>
      </c>
      <c r="AE194" s="6" t="e">
        <f>RecetteTransport2[[#All],[Nb de reprises Optiques]]/#REF!</f>
        <v>#REF!</v>
      </c>
      <c r="AF194" s="6"/>
    </row>
    <row r="195" spans="1:32" hidden="1" x14ac:dyDescent="0.3">
      <c r="A195" t="s">
        <v>12</v>
      </c>
      <c r="B195" t="s">
        <v>20</v>
      </c>
      <c r="C195" t="s">
        <v>365</v>
      </c>
      <c r="D195" t="s">
        <v>366</v>
      </c>
      <c r="G195" s="11"/>
      <c r="H195" s="11" t="s">
        <v>29</v>
      </c>
      <c r="I195" s="11" t="s">
        <v>29</v>
      </c>
      <c r="J195" s="11">
        <f>RecetteTransport2[[#All],[Fibres TC NOK]]</f>
        <v>0</v>
      </c>
      <c r="K195" s="50">
        <f>RecetteTransport2[[#All],[Valeur Critique]]</f>
        <v>0</v>
      </c>
      <c r="L195" s="50">
        <f>AD:AD</f>
        <v>0</v>
      </c>
      <c r="N195" t="s">
        <v>389</v>
      </c>
      <c r="P195">
        <f xml:space="preserve"> _xlfn.ISOWEEKNUM(RecetteTransport2[[#This Row],[Date validation Optique]])</f>
        <v>52</v>
      </c>
      <c r="Q195">
        <f>YEAR(RecetteTransport2[[#This Row],[Date validation Optique]])</f>
        <v>1900</v>
      </c>
      <c r="T195" s="50">
        <f>_xlfn.ISOWEEKNUM(RecetteTransport2[[#This Row],[Date Achevement  Mécanique]])</f>
        <v>52</v>
      </c>
      <c r="U195" s="50">
        <f>YEAR(RecetteTransport2[[#This Row],[Date Achevement  Mécanique]])</f>
        <v>1900</v>
      </c>
      <c r="V195" s="2">
        <v>44252</v>
      </c>
      <c r="W195" s="50">
        <f>_xlfn.ISOWEEKNUM(RecetteTransport2[[#This Row],[Date de mesure]])</f>
        <v>8</v>
      </c>
      <c r="X195" s="11">
        <f>YEAR(RecetteTransport2[[#This Row],[Date de mesure]])</f>
        <v>2021</v>
      </c>
      <c r="Y195" s="2">
        <v>44266</v>
      </c>
      <c r="Z195" s="50">
        <f>_xlfn.ISOWEEKNUM(RecetteTransport2[[#This Row],[Date envoie dossier mesure]])</f>
        <v>10</v>
      </c>
      <c r="AA195" s="50">
        <f>YEAR(RecetteTransport2[[#This Row],[Date envoie dossier mesure]])</f>
        <v>2021</v>
      </c>
      <c r="AB195" s="11">
        <v>0</v>
      </c>
      <c r="AC195" s="11">
        <v>0</v>
      </c>
      <c r="AD195" s="50">
        <v>0</v>
      </c>
      <c r="AE195" s="6" t="e">
        <f>RecetteTransport2[[#All],[Nb de reprises Optiques]]/#REF!</f>
        <v>#REF!</v>
      </c>
      <c r="AF195" s="6"/>
    </row>
    <row r="196" spans="1:32" x14ac:dyDescent="0.3">
      <c r="A196" t="s">
        <v>12</v>
      </c>
      <c r="D196" t="s">
        <v>505</v>
      </c>
      <c r="G196" s="11"/>
      <c r="H196" s="11"/>
      <c r="I196" s="11"/>
      <c r="J196" s="11">
        <f>RecetteTransport2[[#All],[Fibres TC NOK]]</f>
        <v>0</v>
      </c>
      <c r="K196" s="50">
        <f>RecetteTransport2[[#All],[Valeur Critique]]</f>
        <v>0</v>
      </c>
      <c r="L196" s="50">
        <f t="shared" ref="L196:L197" si="11">AD:AD</f>
        <v>0</v>
      </c>
      <c r="P196" s="11">
        <f xml:space="preserve"> _xlfn.ISOWEEKNUM(RecetteTransport2[[#This Row],[Date validation Optique]])</f>
        <v>52</v>
      </c>
      <c r="Q196" s="11">
        <f>YEAR(RecetteTransport2[[#This Row],[Date validation Optique]])</f>
        <v>1900</v>
      </c>
      <c r="S196" s="47" t="e">
        <f>#REF!+10</f>
        <v>#REF!</v>
      </c>
      <c r="T196" s="50" t="e">
        <f>_xlfn.ISOWEEKNUM(RecetteTransport2[[#This Row],[Date Achevement  Mécanique]])</f>
        <v>#REF!</v>
      </c>
      <c r="U196" s="50" t="e">
        <f>YEAR(RecetteTransport2[[#This Row],[Date Achevement  Mécanique]])</f>
        <v>#REF!</v>
      </c>
      <c r="V196" s="47"/>
      <c r="W196" s="50">
        <f>_xlfn.ISOWEEKNUM(RecetteTransport2[[#This Row],[Date de mesure]])</f>
        <v>52</v>
      </c>
      <c r="X196" s="11">
        <f>YEAR(RecetteTransport2[[#This Row],[Date de mesure]])</f>
        <v>1900</v>
      </c>
      <c r="Y196" s="47"/>
      <c r="Z196" s="50">
        <f>_xlfn.ISOWEEKNUM(RecetteTransport2[[#This Row],[Date envoie dossier mesure]])</f>
        <v>52</v>
      </c>
      <c r="AA196" s="50">
        <f>YEAR(RecetteTransport2[[#This Row],[Date envoie dossier mesure]])</f>
        <v>1900</v>
      </c>
      <c r="AB196" s="11"/>
      <c r="AC196" s="11"/>
      <c r="AE196" s="6" t="e">
        <f>RecetteTransport2[[#All],[Nb de reprises Optiques]]/#REF!</f>
        <v>#REF!</v>
      </c>
      <c r="AF196" s="6"/>
    </row>
    <row r="197" spans="1:32" x14ac:dyDescent="0.3">
      <c r="A197" t="s">
        <v>12</v>
      </c>
      <c r="D197" t="s">
        <v>506</v>
      </c>
      <c r="G197" s="11"/>
      <c r="H197" s="11"/>
      <c r="I197" s="11"/>
      <c r="J197" s="11">
        <f>RecetteTransport2[[#All],[Fibres TC NOK]]</f>
        <v>0</v>
      </c>
      <c r="K197" s="50">
        <f>RecetteTransport2[[#All],[Valeur Critique]]</f>
        <v>0</v>
      </c>
      <c r="L197" s="50">
        <f t="shared" si="11"/>
        <v>0</v>
      </c>
      <c r="P197" s="11">
        <f xml:space="preserve"> _xlfn.ISOWEEKNUM(RecetteTransport2[[#This Row],[Date validation Optique]])</f>
        <v>52</v>
      </c>
      <c r="Q197" s="11">
        <f>YEAR(RecetteTransport2[[#This Row],[Date validation Optique]])</f>
        <v>1900</v>
      </c>
      <c r="S197" s="47" t="e">
        <f>#REF!+10</f>
        <v>#REF!</v>
      </c>
      <c r="T197" s="50" t="e">
        <f>_xlfn.ISOWEEKNUM(RecetteTransport2[[#This Row],[Date Achevement  Mécanique]])</f>
        <v>#REF!</v>
      </c>
      <c r="U197" s="50" t="e">
        <f>YEAR(RecetteTransport2[[#This Row],[Date Achevement  Mécanique]])</f>
        <v>#REF!</v>
      </c>
      <c r="V197" s="47"/>
      <c r="W197" s="50">
        <f>_xlfn.ISOWEEKNUM(RecetteTransport2[[#This Row],[Date de mesure]])</f>
        <v>52</v>
      </c>
      <c r="X197" s="11">
        <f>YEAR(RecetteTransport2[[#This Row],[Date de mesure]])</f>
        <v>1900</v>
      </c>
      <c r="Y197" s="47"/>
      <c r="Z197" s="50">
        <f>_xlfn.ISOWEEKNUM(RecetteTransport2[[#This Row],[Date envoie dossier mesure]])</f>
        <v>52</v>
      </c>
      <c r="AA197" s="50">
        <f>YEAR(RecetteTransport2[[#This Row],[Date envoie dossier mesure]])</f>
        <v>1900</v>
      </c>
      <c r="AB197" s="11"/>
      <c r="AC197" s="11"/>
      <c r="AE197" s="6" t="e">
        <f>RecetteTransport2[[#All],[Nb de reprises Optiques]]/#REF!</f>
        <v>#REF!</v>
      </c>
      <c r="AF197" s="6"/>
    </row>
    <row r="198" spans="1:32" hidden="1" x14ac:dyDescent="0.3">
      <c r="A198" t="s">
        <v>12</v>
      </c>
      <c r="B198" t="s">
        <v>20</v>
      </c>
      <c r="C198" t="s">
        <v>254</v>
      </c>
      <c r="D198" t="s">
        <v>268</v>
      </c>
      <c r="G198" s="11"/>
      <c r="H198" s="11" t="s">
        <v>29</v>
      </c>
      <c r="I198" s="11" t="s">
        <v>29</v>
      </c>
      <c r="J198" s="11">
        <f>RecetteTransport2[[#All],[Fibres TC NOK]]</f>
        <v>0</v>
      </c>
      <c r="K198" s="50">
        <f>RecetteTransport2[[#All],[Valeur Critique]]</f>
        <v>0</v>
      </c>
      <c r="L198" s="50">
        <f>AD:AD</f>
        <v>47</v>
      </c>
      <c r="N198" t="s">
        <v>65</v>
      </c>
      <c r="P198">
        <f xml:space="preserve"> _xlfn.ISOWEEKNUM(RecetteTransport2[[#This Row],[Date validation Optique]])</f>
        <v>52</v>
      </c>
      <c r="Q198">
        <f>YEAR(RecetteTransport2[[#This Row],[Date validation Optique]])</f>
        <v>1900</v>
      </c>
      <c r="T198" s="50">
        <f>_xlfn.ISOWEEKNUM(RecetteTransport2[[#This Row],[Date Achevement  Mécanique]])</f>
        <v>52</v>
      </c>
      <c r="U198" s="50">
        <f>YEAR(RecetteTransport2[[#This Row],[Date Achevement  Mécanique]])</f>
        <v>1900</v>
      </c>
      <c r="V198" s="2"/>
      <c r="W198" s="50">
        <f>_xlfn.ISOWEEKNUM(RecetteTransport2[[#This Row],[Date de mesure]])</f>
        <v>52</v>
      </c>
      <c r="X198" s="11">
        <f>YEAR(RecetteTransport2[[#This Row],[Date de mesure]])</f>
        <v>1900</v>
      </c>
      <c r="Y198" s="2">
        <v>44212</v>
      </c>
      <c r="Z198" s="50">
        <f>_xlfn.ISOWEEKNUM(RecetteTransport2[[#This Row],[Date envoie dossier mesure]])</f>
        <v>2</v>
      </c>
      <c r="AA198" s="50">
        <f>YEAR(RecetteTransport2[[#This Row],[Date envoie dossier mesure]])</f>
        <v>2021</v>
      </c>
      <c r="AB198" s="11">
        <v>0</v>
      </c>
      <c r="AC198" s="11">
        <v>0</v>
      </c>
      <c r="AD198" s="50">
        <v>47</v>
      </c>
      <c r="AE198" s="6" t="e">
        <f>RecetteTransport2[[#All],[Nb de reprises Optiques]]/#REF!</f>
        <v>#REF!</v>
      </c>
      <c r="AF198" s="6"/>
    </row>
    <row r="199" spans="1:32" hidden="1" x14ac:dyDescent="0.3">
      <c r="A199" t="s">
        <v>12</v>
      </c>
      <c r="B199" t="s">
        <v>20</v>
      </c>
      <c r="C199" t="s">
        <v>254</v>
      </c>
      <c r="D199" t="s">
        <v>255</v>
      </c>
      <c r="F199" t="s">
        <v>49</v>
      </c>
      <c r="G199" s="11"/>
      <c r="H199" s="11" t="s">
        <v>29</v>
      </c>
      <c r="I199" s="11" t="s">
        <v>29</v>
      </c>
      <c r="J199" s="11">
        <f>RecetteTransport2[[#All],[Fibres TC NOK]]</f>
        <v>2</v>
      </c>
      <c r="K199" s="50">
        <f>RecetteTransport2[[#All],[Valeur Critique]]</f>
        <v>1</v>
      </c>
      <c r="L199" s="50">
        <f>AD:AD</f>
        <v>27</v>
      </c>
      <c r="N199" t="s">
        <v>65</v>
      </c>
      <c r="P199">
        <f xml:space="preserve"> _xlfn.ISOWEEKNUM(RecetteTransport2[[#This Row],[Date validation Optique]])</f>
        <v>52</v>
      </c>
      <c r="Q199">
        <f>YEAR(RecetteTransport2[[#This Row],[Date validation Optique]])</f>
        <v>1900</v>
      </c>
      <c r="T199" s="50">
        <f>_xlfn.ISOWEEKNUM(RecetteTransport2[[#This Row],[Date Achevement  Mécanique]])</f>
        <v>52</v>
      </c>
      <c r="U199" s="50">
        <f>YEAR(RecetteTransport2[[#This Row],[Date Achevement  Mécanique]])</f>
        <v>1900</v>
      </c>
      <c r="V199" s="2"/>
      <c r="W199" s="50">
        <f>_xlfn.ISOWEEKNUM(RecetteTransport2[[#This Row],[Date de mesure]])</f>
        <v>52</v>
      </c>
      <c r="X199" s="11">
        <f>YEAR(RecetteTransport2[[#This Row],[Date de mesure]])</f>
        <v>1900</v>
      </c>
      <c r="Y199" s="2">
        <v>43873</v>
      </c>
      <c r="Z199" s="50">
        <f>_xlfn.ISOWEEKNUM(RecetteTransport2[[#This Row],[Date envoie dossier mesure]])</f>
        <v>7</v>
      </c>
      <c r="AA199" s="50">
        <f>YEAR(RecetteTransport2[[#This Row],[Date envoie dossier mesure]])</f>
        <v>2020</v>
      </c>
      <c r="AB199" s="11">
        <v>2</v>
      </c>
      <c r="AC199" s="11">
        <v>1</v>
      </c>
      <c r="AD199" s="50">
        <v>27</v>
      </c>
      <c r="AE199" s="6" t="e">
        <f>RecetteTransport2[[#All],[Nb de reprises Optiques]]/#REF!</f>
        <v>#REF!</v>
      </c>
      <c r="AF199" s="6"/>
    </row>
    <row r="200" spans="1:32" hidden="1" x14ac:dyDescent="0.3">
      <c r="A200" t="s">
        <v>12</v>
      </c>
      <c r="B200" t="s">
        <v>20</v>
      </c>
      <c r="C200" t="s">
        <v>254</v>
      </c>
      <c r="D200" t="s">
        <v>269</v>
      </c>
      <c r="G200" s="11"/>
      <c r="H200" s="11" t="s">
        <v>29</v>
      </c>
      <c r="I200" s="11" t="s">
        <v>29</v>
      </c>
      <c r="J200" s="11">
        <f>RecetteTransport2[[#All],[Fibres TC NOK]]</f>
        <v>1</v>
      </c>
      <c r="K200" s="50">
        <f>RecetteTransport2[[#All],[Valeur Critique]]</f>
        <v>0</v>
      </c>
      <c r="L200" s="50">
        <f>AD:AD</f>
        <v>5</v>
      </c>
      <c r="N200" t="s">
        <v>65</v>
      </c>
      <c r="P200">
        <f xml:space="preserve"> _xlfn.ISOWEEKNUM(RecetteTransport2[[#This Row],[Date validation Optique]])</f>
        <v>52</v>
      </c>
      <c r="Q200">
        <f>YEAR(RecetteTransport2[[#This Row],[Date validation Optique]])</f>
        <v>1900</v>
      </c>
      <c r="T200" s="50">
        <f>_xlfn.ISOWEEKNUM(RecetteTransport2[[#This Row],[Date Achevement  Mécanique]])</f>
        <v>52</v>
      </c>
      <c r="U200" s="50">
        <f>YEAR(RecetteTransport2[[#This Row],[Date Achevement  Mécanique]])</f>
        <v>1900</v>
      </c>
      <c r="V200" s="2">
        <v>44258</v>
      </c>
      <c r="W200" s="50">
        <f>_xlfn.ISOWEEKNUM(RecetteTransport2[[#This Row],[Date de mesure]])</f>
        <v>9</v>
      </c>
      <c r="X200" s="11">
        <f>YEAR(RecetteTransport2[[#This Row],[Date de mesure]])</f>
        <v>2021</v>
      </c>
      <c r="Y200" s="2">
        <v>44270</v>
      </c>
      <c r="Z200" s="50">
        <f>_xlfn.ISOWEEKNUM(RecetteTransport2[[#This Row],[Date envoie dossier mesure]])</f>
        <v>11</v>
      </c>
      <c r="AA200" s="50">
        <f>YEAR(RecetteTransport2[[#This Row],[Date envoie dossier mesure]])</f>
        <v>2021</v>
      </c>
      <c r="AB200" s="11">
        <v>1</v>
      </c>
      <c r="AC200" s="11">
        <v>0</v>
      </c>
      <c r="AD200" s="50">
        <v>5</v>
      </c>
      <c r="AE200" s="6" t="e">
        <f>RecetteTransport2[[#All],[Nb de reprises Optiques]]/#REF!</f>
        <v>#REF!</v>
      </c>
      <c r="AF200" s="6"/>
    </row>
    <row r="201" spans="1:32" hidden="1" x14ac:dyDescent="0.3">
      <c r="A201" t="s">
        <v>12</v>
      </c>
      <c r="B201" t="s">
        <v>20</v>
      </c>
      <c r="C201" t="s">
        <v>254</v>
      </c>
      <c r="D201" t="s">
        <v>270</v>
      </c>
      <c r="G201" s="11"/>
      <c r="H201" s="11" t="s">
        <v>29</v>
      </c>
      <c r="I201" s="11" t="s">
        <v>29</v>
      </c>
      <c r="J201" s="11">
        <f>RecetteTransport2[[#All],[Fibres TC NOK]]</f>
        <v>0</v>
      </c>
      <c r="K201" s="50">
        <f>RecetteTransport2[[#All],[Valeur Critique]]</f>
        <v>0</v>
      </c>
      <c r="L201" s="50">
        <f>AD:AD</f>
        <v>6</v>
      </c>
      <c r="N201" t="s">
        <v>65</v>
      </c>
      <c r="P201">
        <f xml:space="preserve"> _xlfn.ISOWEEKNUM(RecetteTransport2[[#This Row],[Date validation Optique]])</f>
        <v>52</v>
      </c>
      <c r="Q201">
        <f>YEAR(RecetteTransport2[[#This Row],[Date validation Optique]])</f>
        <v>1900</v>
      </c>
      <c r="T201" s="50">
        <f>_xlfn.ISOWEEKNUM(RecetteTransport2[[#This Row],[Date Achevement  Mécanique]])</f>
        <v>52</v>
      </c>
      <c r="U201" s="50">
        <f>YEAR(RecetteTransport2[[#This Row],[Date Achevement  Mécanique]])</f>
        <v>1900</v>
      </c>
      <c r="V201" s="2"/>
      <c r="W201" s="50">
        <f>_xlfn.ISOWEEKNUM(RecetteTransport2[[#This Row],[Date de mesure]])</f>
        <v>52</v>
      </c>
      <c r="X201" s="11">
        <f>YEAR(RecetteTransport2[[#This Row],[Date de mesure]])</f>
        <v>1900</v>
      </c>
      <c r="Y201" s="2">
        <v>44212</v>
      </c>
      <c r="Z201" s="50">
        <f>_xlfn.ISOWEEKNUM(RecetteTransport2[[#This Row],[Date envoie dossier mesure]])</f>
        <v>2</v>
      </c>
      <c r="AA201" s="50">
        <f>YEAR(RecetteTransport2[[#This Row],[Date envoie dossier mesure]])</f>
        <v>2021</v>
      </c>
      <c r="AB201" s="11">
        <v>0</v>
      </c>
      <c r="AC201" s="11">
        <v>0</v>
      </c>
      <c r="AD201" s="50">
        <v>6</v>
      </c>
      <c r="AE201" s="6" t="e">
        <f>RecetteTransport2[[#All],[Nb de reprises Optiques]]/#REF!</f>
        <v>#REF!</v>
      </c>
      <c r="AF201" s="6"/>
    </row>
    <row r="202" spans="1:32" hidden="1" x14ac:dyDescent="0.3">
      <c r="A202" t="s">
        <v>12</v>
      </c>
      <c r="B202" t="s">
        <v>20</v>
      </c>
      <c r="C202" t="s">
        <v>254</v>
      </c>
      <c r="D202" t="s">
        <v>271</v>
      </c>
      <c r="G202" s="11"/>
      <c r="H202" s="11" t="s">
        <v>29</v>
      </c>
      <c r="I202" s="11" t="s">
        <v>29</v>
      </c>
      <c r="J202" s="11">
        <f>RecetteTransport2[[#All],[Fibres TC NOK]]</f>
        <v>0</v>
      </c>
      <c r="K202" s="50">
        <f>RecetteTransport2[[#All],[Valeur Critique]]</f>
        <v>1</v>
      </c>
      <c r="L202" s="50">
        <f>AD:AD</f>
        <v>22</v>
      </c>
      <c r="N202" t="s">
        <v>65</v>
      </c>
      <c r="P202">
        <f xml:space="preserve"> _xlfn.ISOWEEKNUM(RecetteTransport2[[#This Row],[Date validation Optique]])</f>
        <v>52</v>
      </c>
      <c r="Q202">
        <f>YEAR(RecetteTransport2[[#This Row],[Date validation Optique]])</f>
        <v>1900</v>
      </c>
      <c r="T202" s="50">
        <f>_xlfn.ISOWEEKNUM(RecetteTransport2[[#This Row],[Date Achevement  Mécanique]])</f>
        <v>52</v>
      </c>
      <c r="U202" s="50">
        <f>YEAR(RecetteTransport2[[#This Row],[Date Achevement  Mécanique]])</f>
        <v>1900</v>
      </c>
      <c r="V202" s="2"/>
      <c r="W202" s="50">
        <f>_xlfn.ISOWEEKNUM(RecetteTransport2[[#This Row],[Date de mesure]])</f>
        <v>52</v>
      </c>
      <c r="X202" s="11">
        <f>YEAR(RecetteTransport2[[#This Row],[Date de mesure]])</f>
        <v>1900</v>
      </c>
      <c r="Y202" s="2">
        <v>44212</v>
      </c>
      <c r="Z202" s="50">
        <f>_xlfn.ISOWEEKNUM(RecetteTransport2[[#This Row],[Date envoie dossier mesure]])</f>
        <v>2</v>
      </c>
      <c r="AA202" s="50">
        <f>YEAR(RecetteTransport2[[#This Row],[Date envoie dossier mesure]])</f>
        <v>2021</v>
      </c>
      <c r="AB202" s="11">
        <v>0</v>
      </c>
      <c r="AC202" s="11">
        <v>1</v>
      </c>
      <c r="AD202" s="50">
        <v>22</v>
      </c>
      <c r="AE202" s="6" t="e">
        <f>RecetteTransport2[[#All],[Nb de reprises Optiques]]/#REF!</f>
        <v>#REF!</v>
      </c>
      <c r="AF202" s="6"/>
    </row>
    <row r="203" spans="1:32" hidden="1" x14ac:dyDescent="0.3">
      <c r="A203" t="s">
        <v>12</v>
      </c>
      <c r="B203" t="s">
        <v>20</v>
      </c>
      <c r="C203" t="s">
        <v>254</v>
      </c>
      <c r="D203" t="s">
        <v>272</v>
      </c>
      <c r="G203" s="11"/>
      <c r="H203" s="11" t="s">
        <v>29</v>
      </c>
      <c r="I203" s="11"/>
      <c r="J203" s="11">
        <f>RecetteTransport2[[#All],[Fibres TC NOK]]</f>
        <v>0</v>
      </c>
      <c r="K203" s="50">
        <f>RecetteTransport2[[#All],[Valeur Critique]]</f>
        <v>0</v>
      </c>
      <c r="L203" s="50">
        <f>AD:AD</f>
        <v>0</v>
      </c>
      <c r="N203" t="s">
        <v>65</v>
      </c>
      <c r="P203">
        <f xml:space="preserve"> _xlfn.ISOWEEKNUM(RecetteTransport2[[#This Row],[Date validation Optique]])</f>
        <v>52</v>
      </c>
      <c r="Q203">
        <f>YEAR(RecetteTransport2[[#This Row],[Date validation Optique]])</f>
        <v>1900</v>
      </c>
      <c r="T203" s="50">
        <f>_xlfn.ISOWEEKNUM(RecetteTransport2[[#This Row],[Date Achevement  Mécanique]])</f>
        <v>52</v>
      </c>
      <c r="U203" s="50">
        <f>YEAR(RecetteTransport2[[#This Row],[Date Achevement  Mécanique]])</f>
        <v>1900</v>
      </c>
      <c r="V203" s="2">
        <v>44265</v>
      </c>
      <c r="W203" s="50">
        <f>_xlfn.ISOWEEKNUM(RecetteTransport2[[#This Row],[Date de mesure]])</f>
        <v>10</v>
      </c>
      <c r="X203" s="11">
        <f>YEAR(RecetteTransport2[[#This Row],[Date de mesure]])</f>
        <v>2021</v>
      </c>
      <c r="Z203" s="50">
        <f>_xlfn.ISOWEEKNUM(RecetteTransport2[[#This Row],[Date envoie dossier mesure]])</f>
        <v>52</v>
      </c>
      <c r="AA203" s="50">
        <f>YEAR(RecetteTransport2[[#This Row],[Date envoie dossier mesure]])</f>
        <v>1900</v>
      </c>
      <c r="AB203" s="11"/>
      <c r="AC203" s="11"/>
      <c r="AE203" s="6" t="e">
        <f>RecetteTransport2[[#All],[Nb de reprises Optiques]]/#REF!</f>
        <v>#REF!</v>
      </c>
      <c r="AF203" s="6"/>
    </row>
    <row r="204" spans="1:32" hidden="1" x14ac:dyDescent="0.3">
      <c r="A204" t="s">
        <v>12</v>
      </c>
      <c r="B204" t="s">
        <v>20</v>
      </c>
      <c r="C204" t="s">
        <v>254</v>
      </c>
      <c r="D204" t="s">
        <v>273</v>
      </c>
      <c r="G204" s="11"/>
      <c r="H204" s="11" t="s">
        <v>29</v>
      </c>
      <c r="I204" s="11" t="s">
        <v>29</v>
      </c>
      <c r="J204" s="11">
        <f>RecetteTransport2[[#All],[Fibres TC NOK]]</f>
        <v>0</v>
      </c>
      <c r="K204" s="50">
        <f>RecetteTransport2[[#All],[Valeur Critique]]</f>
        <v>0</v>
      </c>
      <c r="L204" s="50">
        <f>AD:AD</f>
        <v>6</v>
      </c>
      <c r="N204" t="s">
        <v>65</v>
      </c>
      <c r="P204">
        <f xml:space="preserve"> _xlfn.ISOWEEKNUM(RecetteTransport2[[#This Row],[Date validation Optique]])</f>
        <v>52</v>
      </c>
      <c r="Q204">
        <f>YEAR(RecetteTransport2[[#This Row],[Date validation Optique]])</f>
        <v>1900</v>
      </c>
      <c r="T204" s="50">
        <f>_xlfn.ISOWEEKNUM(RecetteTransport2[[#This Row],[Date Achevement  Mécanique]])</f>
        <v>52</v>
      </c>
      <c r="U204" s="50">
        <f>YEAR(RecetteTransport2[[#This Row],[Date Achevement  Mécanique]])</f>
        <v>1900</v>
      </c>
      <c r="V204" s="2"/>
      <c r="W204" s="50">
        <f>_xlfn.ISOWEEKNUM(RecetteTransport2[[#This Row],[Date de mesure]])</f>
        <v>52</v>
      </c>
      <c r="X204" s="11">
        <f>YEAR(RecetteTransport2[[#This Row],[Date de mesure]])</f>
        <v>1900</v>
      </c>
      <c r="Y204" s="2">
        <v>44212</v>
      </c>
      <c r="Z204" s="50">
        <f>_xlfn.ISOWEEKNUM(RecetteTransport2[[#This Row],[Date envoie dossier mesure]])</f>
        <v>2</v>
      </c>
      <c r="AA204" s="50">
        <f>YEAR(RecetteTransport2[[#This Row],[Date envoie dossier mesure]])</f>
        <v>2021</v>
      </c>
      <c r="AB204" s="11">
        <v>0</v>
      </c>
      <c r="AC204" s="11">
        <v>0</v>
      </c>
      <c r="AD204" s="50">
        <v>6</v>
      </c>
      <c r="AE204" s="6" t="e">
        <f>RecetteTransport2[[#All],[Nb de reprises Optiques]]/#REF!</f>
        <v>#REF!</v>
      </c>
      <c r="AF204" s="6"/>
    </row>
    <row r="205" spans="1:32" x14ac:dyDescent="0.3">
      <c r="A205" t="s">
        <v>12</v>
      </c>
      <c r="B205" t="s">
        <v>13</v>
      </c>
      <c r="D205" t="s">
        <v>507</v>
      </c>
      <c r="G205" s="11"/>
      <c r="H205" s="11"/>
      <c r="I205" s="11"/>
      <c r="J205" s="11">
        <f>RecetteTransport2[[#All],[Fibres TC NOK]]</f>
        <v>0</v>
      </c>
      <c r="K205" s="50">
        <f>RecetteTransport2[[#All],[Valeur Critique]]</f>
        <v>0</v>
      </c>
      <c r="L205" s="50">
        <f t="shared" ref="L205:L217" si="12">AD:AD</f>
        <v>0</v>
      </c>
      <c r="P205" s="11">
        <f xml:space="preserve"> _xlfn.ISOWEEKNUM(RecetteTransport2[[#This Row],[Date validation Optique]])</f>
        <v>52</v>
      </c>
      <c r="Q205" s="11">
        <f>YEAR(RecetteTransport2[[#This Row],[Date validation Optique]])</f>
        <v>1900</v>
      </c>
      <c r="S205" s="47" t="e">
        <f>#REF!+10</f>
        <v>#REF!</v>
      </c>
      <c r="T205" s="50" t="e">
        <f>_xlfn.ISOWEEKNUM(RecetteTransport2[[#This Row],[Date Achevement  Mécanique]])</f>
        <v>#REF!</v>
      </c>
      <c r="U205" s="50" t="e">
        <f>YEAR(RecetteTransport2[[#This Row],[Date Achevement  Mécanique]])</f>
        <v>#REF!</v>
      </c>
      <c r="V205" s="47"/>
      <c r="W205" s="50">
        <f>_xlfn.ISOWEEKNUM(RecetteTransport2[[#This Row],[Date de mesure]])</f>
        <v>52</v>
      </c>
      <c r="X205" s="11">
        <f>YEAR(RecetteTransport2[[#This Row],[Date de mesure]])</f>
        <v>1900</v>
      </c>
      <c r="Y205" s="47"/>
      <c r="Z205" s="50">
        <f>_xlfn.ISOWEEKNUM(RecetteTransport2[[#This Row],[Date envoie dossier mesure]])</f>
        <v>52</v>
      </c>
      <c r="AA205" s="50">
        <f>YEAR(RecetteTransport2[[#This Row],[Date envoie dossier mesure]])</f>
        <v>1900</v>
      </c>
      <c r="AB205" s="11"/>
      <c r="AC205" s="11"/>
      <c r="AE205" s="6" t="e">
        <f>RecetteTransport2[[#All],[Nb de reprises Optiques]]/#REF!</f>
        <v>#REF!</v>
      </c>
      <c r="AF205" s="6"/>
    </row>
    <row r="206" spans="1:32" x14ac:dyDescent="0.3">
      <c r="A206" t="s">
        <v>12</v>
      </c>
      <c r="B206" t="s">
        <v>13</v>
      </c>
      <c r="D206" t="s">
        <v>508</v>
      </c>
      <c r="G206" s="11"/>
      <c r="H206" s="11"/>
      <c r="I206" s="11"/>
      <c r="J206" s="11">
        <f>RecetteTransport2[[#All],[Fibres TC NOK]]</f>
        <v>0</v>
      </c>
      <c r="K206" s="50">
        <f>RecetteTransport2[[#All],[Valeur Critique]]</f>
        <v>0</v>
      </c>
      <c r="L206" s="50">
        <f t="shared" si="12"/>
        <v>0</v>
      </c>
      <c r="P206" s="11">
        <f xml:space="preserve"> _xlfn.ISOWEEKNUM(RecetteTransport2[[#This Row],[Date validation Optique]])</f>
        <v>52</v>
      </c>
      <c r="Q206" s="11">
        <f>YEAR(RecetteTransport2[[#This Row],[Date validation Optique]])</f>
        <v>1900</v>
      </c>
      <c r="S206" s="47" t="e">
        <f>#REF!+10</f>
        <v>#REF!</v>
      </c>
      <c r="T206" s="50" t="e">
        <f>_xlfn.ISOWEEKNUM(RecetteTransport2[[#This Row],[Date Achevement  Mécanique]])</f>
        <v>#REF!</v>
      </c>
      <c r="U206" s="50" t="e">
        <f>YEAR(RecetteTransport2[[#This Row],[Date Achevement  Mécanique]])</f>
        <v>#REF!</v>
      </c>
      <c r="V206" s="47"/>
      <c r="W206" s="50">
        <f>_xlfn.ISOWEEKNUM(RecetteTransport2[[#This Row],[Date de mesure]])</f>
        <v>52</v>
      </c>
      <c r="X206" s="11">
        <f>YEAR(RecetteTransport2[[#This Row],[Date de mesure]])</f>
        <v>1900</v>
      </c>
      <c r="Y206" s="47"/>
      <c r="Z206" s="50">
        <f>_xlfn.ISOWEEKNUM(RecetteTransport2[[#This Row],[Date envoie dossier mesure]])</f>
        <v>52</v>
      </c>
      <c r="AA206" s="50">
        <f>YEAR(RecetteTransport2[[#This Row],[Date envoie dossier mesure]])</f>
        <v>1900</v>
      </c>
      <c r="AB206" s="11"/>
      <c r="AC206" s="11"/>
      <c r="AE206" s="6" t="e">
        <f>RecetteTransport2[[#All],[Nb de reprises Optiques]]/#REF!</f>
        <v>#REF!</v>
      </c>
      <c r="AF206" s="6"/>
    </row>
    <row r="207" spans="1:32" x14ac:dyDescent="0.3">
      <c r="A207" t="s">
        <v>12</v>
      </c>
      <c r="B207" t="s">
        <v>13</v>
      </c>
      <c r="D207" t="s">
        <v>509</v>
      </c>
      <c r="G207" s="11"/>
      <c r="H207" s="11"/>
      <c r="I207" s="11"/>
      <c r="J207" s="11">
        <f>RecetteTransport2[[#All],[Fibres TC NOK]]</f>
        <v>0</v>
      </c>
      <c r="K207" s="50">
        <f>RecetteTransport2[[#All],[Valeur Critique]]</f>
        <v>0</v>
      </c>
      <c r="L207" s="50">
        <f t="shared" si="12"/>
        <v>0</v>
      </c>
      <c r="P207" s="11">
        <f xml:space="preserve"> _xlfn.ISOWEEKNUM(RecetteTransport2[[#This Row],[Date validation Optique]])</f>
        <v>52</v>
      </c>
      <c r="Q207" s="11">
        <f>YEAR(RecetteTransport2[[#This Row],[Date validation Optique]])</f>
        <v>1900</v>
      </c>
      <c r="S207" s="47" t="e">
        <f>#REF!+10</f>
        <v>#REF!</v>
      </c>
      <c r="T207" s="50" t="e">
        <f>_xlfn.ISOWEEKNUM(RecetteTransport2[[#This Row],[Date Achevement  Mécanique]])</f>
        <v>#REF!</v>
      </c>
      <c r="U207" s="50" t="e">
        <f>YEAR(RecetteTransport2[[#This Row],[Date Achevement  Mécanique]])</f>
        <v>#REF!</v>
      </c>
      <c r="V207" s="47"/>
      <c r="W207" s="50">
        <f>_xlfn.ISOWEEKNUM(RecetteTransport2[[#This Row],[Date de mesure]])</f>
        <v>52</v>
      </c>
      <c r="X207" s="11">
        <f>YEAR(RecetteTransport2[[#This Row],[Date de mesure]])</f>
        <v>1900</v>
      </c>
      <c r="Y207" s="47"/>
      <c r="Z207" s="50">
        <f>_xlfn.ISOWEEKNUM(RecetteTransport2[[#This Row],[Date envoie dossier mesure]])</f>
        <v>52</v>
      </c>
      <c r="AA207" s="50">
        <f>YEAR(RecetteTransport2[[#This Row],[Date envoie dossier mesure]])</f>
        <v>1900</v>
      </c>
      <c r="AB207" s="11"/>
      <c r="AC207" s="11"/>
      <c r="AE207" s="6" t="e">
        <f>RecetteTransport2[[#All],[Nb de reprises Optiques]]/#REF!</f>
        <v>#REF!</v>
      </c>
      <c r="AF207" s="6"/>
    </row>
    <row r="208" spans="1:32" x14ac:dyDescent="0.3">
      <c r="A208" t="s">
        <v>12</v>
      </c>
      <c r="B208" t="s">
        <v>13</v>
      </c>
      <c r="D208" t="s">
        <v>510</v>
      </c>
      <c r="G208" s="11"/>
      <c r="H208" s="11"/>
      <c r="I208" s="11"/>
      <c r="J208" s="11">
        <f>RecetteTransport2[[#All],[Fibres TC NOK]]</f>
        <v>0</v>
      </c>
      <c r="K208" s="50">
        <f>RecetteTransport2[[#All],[Valeur Critique]]</f>
        <v>0</v>
      </c>
      <c r="L208" s="50">
        <f t="shared" si="12"/>
        <v>0</v>
      </c>
      <c r="P208" s="11">
        <f xml:space="preserve"> _xlfn.ISOWEEKNUM(RecetteTransport2[[#This Row],[Date validation Optique]])</f>
        <v>52</v>
      </c>
      <c r="Q208" s="11">
        <f>YEAR(RecetteTransport2[[#This Row],[Date validation Optique]])</f>
        <v>1900</v>
      </c>
      <c r="S208" s="47" t="e">
        <f>#REF!+10</f>
        <v>#REF!</v>
      </c>
      <c r="T208" s="50" t="e">
        <f>_xlfn.ISOWEEKNUM(RecetteTransport2[[#This Row],[Date Achevement  Mécanique]])</f>
        <v>#REF!</v>
      </c>
      <c r="U208" s="50" t="e">
        <f>YEAR(RecetteTransport2[[#This Row],[Date Achevement  Mécanique]])</f>
        <v>#REF!</v>
      </c>
      <c r="V208" s="47"/>
      <c r="W208" s="50">
        <f>_xlfn.ISOWEEKNUM(RecetteTransport2[[#This Row],[Date de mesure]])</f>
        <v>52</v>
      </c>
      <c r="X208" s="11">
        <f>YEAR(RecetteTransport2[[#This Row],[Date de mesure]])</f>
        <v>1900</v>
      </c>
      <c r="Y208" s="47"/>
      <c r="Z208" s="50">
        <f>_xlfn.ISOWEEKNUM(RecetteTransport2[[#This Row],[Date envoie dossier mesure]])</f>
        <v>52</v>
      </c>
      <c r="AA208" s="50">
        <f>YEAR(RecetteTransport2[[#This Row],[Date envoie dossier mesure]])</f>
        <v>1900</v>
      </c>
      <c r="AB208" s="11"/>
      <c r="AC208" s="11"/>
      <c r="AE208" s="6" t="e">
        <f>RecetteTransport2[[#All],[Nb de reprises Optiques]]/#REF!</f>
        <v>#REF!</v>
      </c>
      <c r="AF208" s="6"/>
    </row>
    <row r="209" spans="1:32" x14ac:dyDescent="0.3">
      <c r="A209" t="s">
        <v>12</v>
      </c>
      <c r="B209" t="s">
        <v>13</v>
      </c>
      <c r="D209" t="s">
        <v>511</v>
      </c>
      <c r="G209" s="11"/>
      <c r="H209" s="11"/>
      <c r="I209" s="11"/>
      <c r="J209" s="11">
        <f>RecetteTransport2[[#All],[Fibres TC NOK]]</f>
        <v>0</v>
      </c>
      <c r="K209" s="50">
        <f>RecetteTransport2[[#All],[Valeur Critique]]</f>
        <v>0</v>
      </c>
      <c r="L209" s="50">
        <f t="shared" si="12"/>
        <v>0</v>
      </c>
      <c r="P209" s="11">
        <f xml:space="preserve"> _xlfn.ISOWEEKNUM(RecetteTransport2[[#This Row],[Date validation Optique]])</f>
        <v>52</v>
      </c>
      <c r="Q209" s="11">
        <f>YEAR(RecetteTransport2[[#This Row],[Date validation Optique]])</f>
        <v>1900</v>
      </c>
      <c r="S209" s="47" t="e">
        <f>#REF!+10</f>
        <v>#REF!</v>
      </c>
      <c r="T209" s="50" t="e">
        <f>_xlfn.ISOWEEKNUM(RecetteTransport2[[#This Row],[Date Achevement  Mécanique]])</f>
        <v>#REF!</v>
      </c>
      <c r="U209" s="50" t="e">
        <f>YEAR(RecetteTransport2[[#This Row],[Date Achevement  Mécanique]])</f>
        <v>#REF!</v>
      </c>
      <c r="V209" s="47"/>
      <c r="W209" s="50">
        <f>_xlfn.ISOWEEKNUM(RecetteTransport2[[#This Row],[Date de mesure]])</f>
        <v>52</v>
      </c>
      <c r="X209" s="11">
        <f>YEAR(RecetteTransport2[[#This Row],[Date de mesure]])</f>
        <v>1900</v>
      </c>
      <c r="Y209" s="47"/>
      <c r="Z209" s="50">
        <f>_xlfn.ISOWEEKNUM(RecetteTransport2[[#This Row],[Date envoie dossier mesure]])</f>
        <v>52</v>
      </c>
      <c r="AA209" s="50">
        <f>YEAR(RecetteTransport2[[#This Row],[Date envoie dossier mesure]])</f>
        <v>1900</v>
      </c>
      <c r="AB209" s="11"/>
      <c r="AC209" s="11"/>
      <c r="AE209" s="6" t="e">
        <f>RecetteTransport2[[#All],[Nb de reprises Optiques]]/#REF!</f>
        <v>#REF!</v>
      </c>
      <c r="AF209" s="6"/>
    </row>
    <row r="210" spans="1:32" x14ac:dyDescent="0.3">
      <c r="A210" t="s">
        <v>12</v>
      </c>
      <c r="B210" t="s">
        <v>13</v>
      </c>
      <c r="D210" t="s">
        <v>512</v>
      </c>
      <c r="G210" s="11"/>
      <c r="H210" s="11"/>
      <c r="I210" s="11"/>
      <c r="J210" s="11">
        <f>RecetteTransport2[[#All],[Fibres TC NOK]]</f>
        <v>0</v>
      </c>
      <c r="K210" s="50">
        <f>RecetteTransport2[[#All],[Valeur Critique]]</f>
        <v>0</v>
      </c>
      <c r="L210" s="50">
        <f t="shared" si="12"/>
        <v>0</v>
      </c>
      <c r="P210" s="11">
        <f xml:space="preserve"> _xlfn.ISOWEEKNUM(RecetteTransport2[[#This Row],[Date validation Optique]])</f>
        <v>52</v>
      </c>
      <c r="Q210" s="11">
        <f>YEAR(RecetteTransport2[[#This Row],[Date validation Optique]])</f>
        <v>1900</v>
      </c>
      <c r="S210" s="47" t="e">
        <f>#REF!+10</f>
        <v>#REF!</v>
      </c>
      <c r="T210" s="50" t="e">
        <f>_xlfn.ISOWEEKNUM(RecetteTransport2[[#This Row],[Date Achevement  Mécanique]])</f>
        <v>#REF!</v>
      </c>
      <c r="U210" s="50" t="e">
        <f>YEAR(RecetteTransport2[[#This Row],[Date Achevement  Mécanique]])</f>
        <v>#REF!</v>
      </c>
      <c r="V210" s="47"/>
      <c r="W210" s="50">
        <f>_xlfn.ISOWEEKNUM(RecetteTransport2[[#This Row],[Date de mesure]])</f>
        <v>52</v>
      </c>
      <c r="X210" s="11">
        <f>YEAR(RecetteTransport2[[#This Row],[Date de mesure]])</f>
        <v>1900</v>
      </c>
      <c r="Y210" s="47"/>
      <c r="Z210" s="50">
        <f>_xlfn.ISOWEEKNUM(RecetteTransport2[[#This Row],[Date envoie dossier mesure]])</f>
        <v>52</v>
      </c>
      <c r="AA210" s="50">
        <f>YEAR(RecetteTransport2[[#This Row],[Date envoie dossier mesure]])</f>
        <v>1900</v>
      </c>
      <c r="AB210" s="11"/>
      <c r="AC210" s="11"/>
      <c r="AE210" s="6" t="e">
        <f>RecetteTransport2[[#All],[Nb de reprises Optiques]]/#REF!</f>
        <v>#REF!</v>
      </c>
      <c r="AF210" s="6"/>
    </row>
    <row r="211" spans="1:32" x14ac:dyDescent="0.3">
      <c r="A211" t="s">
        <v>12</v>
      </c>
      <c r="B211" t="s">
        <v>13</v>
      </c>
      <c r="D211" t="s">
        <v>513</v>
      </c>
      <c r="G211" s="11"/>
      <c r="H211" s="11"/>
      <c r="I211" s="11"/>
      <c r="J211" s="11">
        <f>RecetteTransport2[[#All],[Fibres TC NOK]]</f>
        <v>0</v>
      </c>
      <c r="K211" s="50">
        <f>RecetteTransport2[[#All],[Valeur Critique]]</f>
        <v>0</v>
      </c>
      <c r="L211" s="50">
        <f t="shared" si="12"/>
        <v>0</v>
      </c>
      <c r="P211" s="11">
        <f xml:space="preserve"> _xlfn.ISOWEEKNUM(RecetteTransport2[[#This Row],[Date validation Optique]])</f>
        <v>52</v>
      </c>
      <c r="Q211" s="11">
        <f>YEAR(RecetteTransport2[[#This Row],[Date validation Optique]])</f>
        <v>1900</v>
      </c>
      <c r="S211" s="47" t="e">
        <f>#REF!+10</f>
        <v>#REF!</v>
      </c>
      <c r="T211" s="50" t="e">
        <f>_xlfn.ISOWEEKNUM(RecetteTransport2[[#This Row],[Date Achevement  Mécanique]])</f>
        <v>#REF!</v>
      </c>
      <c r="U211" s="50" t="e">
        <f>YEAR(RecetteTransport2[[#This Row],[Date Achevement  Mécanique]])</f>
        <v>#REF!</v>
      </c>
      <c r="V211" s="47"/>
      <c r="W211" s="50">
        <f>_xlfn.ISOWEEKNUM(RecetteTransport2[[#This Row],[Date de mesure]])</f>
        <v>52</v>
      </c>
      <c r="X211" s="11">
        <f>YEAR(RecetteTransport2[[#This Row],[Date de mesure]])</f>
        <v>1900</v>
      </c>
      <c r="Y211" s="47"/>
      <c r="Z211" s="50">
        <f>_xlfn.ISOWEEKNUM(RecetteTransport2[[#This Row],[Date envoie dossier mesure]])</f>
        <v>52</v>
      </c>
      <c r="AA211" s="50">
        <f>YEAR(RecetteTransport2[[#This Row],[Date envoie dossier mesure]])</f>
        <v>1900</v>
      </c>
      <c r="AB211" s="11"/>
      <c r="AC211" s="11"/>
      <c r="AE211" s="6" t="e">
        <f>RecetteTransport2[[#All],[Nb de reprises Optiques]]/#REF!</f>
        <v>#REF!</v>
      </c>
      <c r="AF211" s="6"/>
    </row>
    <row r="212" spans="1:32" x14ac:dyDescent="0.3">
      <c r="A212" t="s">
        <v>12</v>
      </c>
      <c r="B212" t="s">
        <v>13</v>
      </c>
      <c r="D212" t="s">
        <v>514</v>
      </c>
      <c r="G212" s="11"/>
      <c r="H212" s="11"/>
      <c r="I212" s="11"/>
      <c r="J212" s="11">
        <f>RecetteTransport2[[#All],[Fibres TC NOK]]</f>
        <v>0</v>
      </c>
      <c r="K212" s="50">
        <f>RecetteTransport2[[#All],[Valeur Critique]]</f>
        <v>0</v>
      </c>
      <c r="L212" s="50">
        <f t="shared" si="12"/>
        <v>0</v>
      </c>
      <c r="P212" s="11">
        <f xml:space="preserve"> _xlfn.ISOWEEKNUM(RecetteTransport2[[#This Row],[Date validation Optique]])</f>
        <v>52</v>
      </c>
      <c r="Q212" s="11">
        <f>YEAR(RecetteTransport2[[#This Row],[Date validation Optique]])</f>
        <v>1900</v>
      </c>
      <c r="S212" s="47" t="e">
        <f>#REF!+10</f>
        <v>#REF!</v>
      </c>
      <c r="T212" s="50" t="e">
        <f>_xlfn.ISOWEEKNUM(RecetteTransport2[[#This Row],[Date Achevement  Mécanique]])</f>
        <v>#REF!</v>
      </c>
      <c r="U212" s="50" t="e">
        <f>YEAR(RecetteTransport2[[#This Row],[Date Achevement  Mécanique]])</f>
        <v>#REF!</v>
      </c>
      <c r="V212" s="47"/>
      <c r="W212" s="50">
        <f>_xlfn.ISOWEEKNUM(RecetteTransport2[[#This Row],[Date de mesure]])</f>
        <v>52</v>
      </c>
      <c r="X212" s="11">
        <f>YEAR(RecetteTransport2[[#This Row],[Date de mesure]])</f>
        <v>1900</v>
      </c>
      <c r="Y212" s="47"/>
      <c r="Z212" s="50">
        <f>_xlfn.ISOWEEKNUM(RecetteTransport2[[#This Row],[Date envoie dossier mesure]])</f>
        <v>52</v>
      </c>
      <c r="AA212" s="50">
        <f>YEAR(RecetteTransport2[[#This Row],[Date envoie dossier mesure]])</f>
        <v>1900</v>
      </c>
      <c r="AB212" s="11"/>
      <c r="AC212" s="11"/>
      <c r="AE212" s="6" t="e">
        <f>RecetteTransport2[[#All],[Nb de reprises Optiques]]/#REF!</f>
        <v>#REF!</v>
      </c>
      <c r="AF212" s="6"/>
    </row>
    <row r="213" spans="1:32" x14ac:dyDescent="0.3">
      <c r="A213" t="s">
        <v>12</v>
      </c>
      <c r="B213" t="s">
        <v>13</v>
      </c>
      <c r="D213" t="s">
        <v>515</v>
      </c>
      <c r="G213" s="11"/>
      <c r="H213" s="11"/>
      <c r="I213" s="11"/>
      <c r="J213" s="11">
        <f>RecetteTransport2[[#All],[Fibres TC NOK]]</f>
        <v>0</v>
      </c>
      <c r="K213" s="50">
        <f>RecetteTransport2[[#All],[Valeur Critique]]</f>
        <v>0</v>
      </c>
      <c r="L213" s="50">
        <f t="shared" si="12"/>
        <v>0</v>
      </c>
      <c r="P213" s="11">
        <f xml:space="preserve"> _xlfn.ISOWEEKNUM(RecetteTransport2[[#This Row],[Date validation Optique]])</f>
        <v>52</v>
      </c>
      <c r="Q213" s="11">
        <f>YEAR(RecetteTransport2[[#This Row],[Date validation Optique]])</f>
        <v>1900</v>
      </c>
      <c r="S213" s="47" t="e">
        <f>#REF!+10</f>
        <v>#REF!</v>
      </c>
      <c r="T213" s="50" t="e">
        <f>_xlfn.ISOWEEKNUM(RecetteTransport2[[#This Row],[Date Achevement  Mécanique]])</f>
        <v>#REF!</v>
      </c>
      <c r="U213" s="50" t="e">
        <f>YEAR(RecetteTransport2[[#This Row],[Date Achevement  Mécanique]])</f>
        <v>#REF!</v>
      </c>
      <c r="V213" s="47"/>
      <c r="W213" s="50">
        <f>_xlfn.ISOWEEKNUM(RecetteTransport2[[#This Row],[Date de mesure]])</f>
        <v>52</v>
      </c>
      <c r="X213" s="11">
        <f>YEAR(RecetteTransport2[[#This Row],[Date de mesure]])</f>
        <v>1900</v>
      </c>
      <c r="Y213" s="47"/>
      <c r="Z213" s="50">
        <f>_xlfn.ISOWEEKNUM(RecetteTransport2[[#This Row],[Date envoie dossier mesure]])</f>
        <v>52</v>
      </c>
      <c r="AA213" s="50">
        <f>YEAR(RecetteTransport2[[#This Row],[Date envoie dossier mesure]])</f>
        <v>1900</v>
      </c>
      <c r="AB213" s="11"/>
      <c r="AC213" s="11"/>
      <c r="AE213" s="6" t="e">
        <f>RecetteTransport2[[#All],[Nb de reprises Optiques]]/#REF!</f>
        <v>#REF!</v>
      </c>
      <c r="AF213" s="6"/>
    </row>
    <row r="214" spans="1:32" x14ac:dyDescent="0.3">
      <c r="A214" t="s">
        <v>12</v>
      </c>
      <c r="B214" t="s">
        <v>13</v>
      </c>
      <c r="D214" t="s">
        <v>516</v>
      </c>
      <c r="G214" s="11"/>
      <c r="H214" s="11"/>
      <c r="I214" s="11"/>
      <c r="J214" s="11">
        <f>RecetteTransport2[[#All],[Fibres TC NOK]]</f>
        <v>0</v>
      </c>
      <c r="K214" s="50">
        <f>RecetteTransport2[[#All],[Valeur Critique]]</f>
        <v>0</v>
      </c>
      <c r="L214" s="50">
        <f t="shared" si="12"/>
        <v>0</v>
      </c>
      <c r="P214" s="11">
        <f xml:space="preserve"> _xlfn.ISOWEEKNUM(RecetteTransport2[[#This Row],[Date validation Optique]])</f>
        <v>52</v>
      </c>
      <c r="Q214" s="11">
        <f>YEAR(RecetteTransport2[[#This Row],[Date validation Optique]])</f>
        <v>1900</v>
      </c>
      <c r="S214" s="47" t="e">
        <f>#REF!+10</f>
        <v>#REF!</v>
      </c>
      <c r="T214" s="50" t="e">
        <f>_xlfn.ISOWEEKNUM(RecetteTransport2[[#This Row],[Date Achevement  Mécanique]])</f>
        <v>#REF!</v>
      </c>
      <c r="U214" s="50" t="e">
        <f>YEAR(RecetteTransport2[[#This Row],[Date Achevement  Mécanique]])</f>
        <v>#REF!</v>
      </c>
      <c r="V214" s="47"/>
      <c r="W214" s="50">
        <f>_xlfn.ISOWEEKNUM(RecetteTransport2[[#This Row],[Date de mesure]])</f>
        <v>52</v>
      </c>
      <c r="X214" s="11">
        <f>YEAR(RecetteTransport2[[#This Row],[Date de mesure]])</f>
        <v>1900</v>
      </c>
      <c r="Y214" s="47"/>
      <c r="Z214" s="50">
        <f>_xlfn.ISOWEEKNUM(RecetteTransport2[[#This Row],[Date envoie dossier mesure]])</f>
        <v>52</v>
      </c>
      <c r="AA214" s="50">
        <f>YEAR(RecetteTransport2[[#This Row],[Date envoie dossier mesure]])</f>
        <v>1900</v>
      </c>
      <c r="AB214" s="11"/>
      <c r="AC214" s="11"/>
      <c r="AE214" s="6" t="e">
        <f>RecetteTransport2[[#All],[Nb de reprises Optiques]]/#REF!</f>
        <v>#REF!</v>
      </c>
      <c r="AF214" s="6"/>
    </row>
    <row r="215" spans="1:32" x14ac:dyDescent="0.3">
      <c r="A215" t="s">
        <v>12</v>
      </c>
      <c r="B215" t="s">
        <v>13</v>
      </c>
      <c r="D215" t="s">
        <v>517</v>
      </c>
      <c r="G215" s="11"/>
      <c r="H215" s="11"/>
      <c r="I215" s="11"/>
      <c r="J215" s="11">
        <f>RecetteTransport2[[#All],[Fibres TC NOK]]</f>
        <v>0</v>
      </c>
      <c r="K215" s="50">
        <f>RecetteTransport2[[#All],[Valeur Critique]]</f>
        <v>0</v>
      </c>
      <c r="L215" s="50">
        <f t="shared" si="12"/>
        <v>0</v>
      </c>
      <c r="P215" s="11">
        <f xml:space="preserve"> _xlfn.ISOWEEKNUM(RecetteTransport2[[#This Row],[Date validation Optique]])</f>
        <v>52</v>
      </c>
      <c r="Q215" s="11">
        <f>YEAR(RecetteTransport2[[#This Row],[Date validation Optique]])</f>
        <v>1900</v>
      </c>
      <c r="S215" s="47" t="e">
        <f>#REF!+10</f>
        <v>#REF!</v>
      </c>
      <c r="T215" s="50" t="e">
        <f>_xlfn.ISOWEEKNUM(RecetteTransport2[[#This Row],[Date Achevement  Mécanique]])</f>
        <v>#REF!</v>
      </c>
      <c r="U215" s="50" t="e">
        <f>YEAR(RecetteTransport2[[#This Row],[Date Achevement  Mécanique]])</f>
        <v>#REF!</v>
      </c>
      <c r="V215" s="47"/>
      <c r="W215" s="50">
        <f>_xlfn.ISOWEEKNUM(RecetteTransport2[[#This Row],[Date de mesure]])</f>
        <v>52</v>
      </c>
      <c r="X215" s="11">
        <f>YEAR(RecetteTransport2[[#This Row],[Date de mesure]])</f>
        <v>1900</v>
      </c>
      <c r="Y215" s="47"/>
      <c r="Z215" s="50">
        <f>_xlfn.ISOWEEKNUM(RecetteTransport2[[#This Row],[Date envoie dossier mesure]])</f>
        <v>52</v>
      </c>
      <c r="AA215" s="50">
        <f>YEAR(RecetteTransport2[[#This Row],[Date envoie dossier mesure]])</f>
        <v>1900</v>
      </c>
      <c r="AB215" s="11"/>
      <c r="AC215" s="11"/>
      <c r="AE215" s="6" t="e">
        <f>RecetteTransport2[[#All],[Nb de reprises Optiques]]/#REF!</f>
        <v>#REF!</v>
      </c>
      <c r="AF215" s="6"/>
    </row>
    <row r="216" spans="1:32" x14ac:dyDescent="0.3">
      <c r="A216" t="s">
        <v>12</v>
      </c>
      <c r="B216" t="s">
        <v>13</v>
      </c>
      <c r="D216" t="s">
        <v>518</v>
      </c>
      <c r="G216" s="11"/>
      <c r="H216" s="11"/>
      <c r="I216" s="11"/>
      <c r="J216" s="11">
        <f>RecetteTransport2[[#All],[Fibres TC NOK]]</f>
        <v>0</v>
      </c>
      <c r="K216" s="50">
        <f>RecetteTransport2[[#All],[Valeur Critique]]</f>
        <v>0</v>
      </c>
      <c r="L216" s="50">
        <f t="shared" si="12"/>
        <v>0</v>
      </c>
      <c r="P216" s="11">
        <f xml:space="preserve"> _xlfn.ISOWEEKNUM(RecetteTransport2[[#This Row],[Date validation Optique]])</f>
        <v>52</v>
      </c>
      <c r="Q216" s="11">
        <f>YEAR(RecetteTransport2[[#This Row],[Date validation Optique]])</f>
        <v>1900</v>
      </c>
      <c r="S216" s="47" t="e">
        <f>#REF!+10</f>
        <v>#REF!</v>
      </c>
      <c r="T216" s="50" t="e">
        <f>_xlfn.ISOWEEKNUM(RecetteTransport2[[#This Row],[Date Achevement  Mécanique]])</f>
        <v>#REF!</v>
      </c>
      <c r="U216" s="50" t="e">
        <f>YEAR(RecetteTransport2[[#This Row],[Date Achevement  Mécanique]])</f>
        <v>#REF!</v>
      </c>
      <c r="V216" s="47"/>
      <c r="W216" s="50">
        <f>_xlfn.ISOWEEKNUM(RecetteTransport2[[#This Row],[Date de mesure]])</f>
        <v>52</v>
      </c>
      <c r="X216" s="11">
        <f>YEAR(RecetteTransport2[[#This Row],[Date de mesure]])</f>
        <v>1900</v>
      </c>
      <c r="Y216" s="47"/>
      <c r="Z216" s="50">
        <f>_xlfn.ISOWEEKNUM(RecetteTransport2[[#This Row],[Date envoie dossier mesure]])</f>
        <v>52</v>
      </c>
      <c r="AA216" s="50">
        <f>YEAR(RecetteTransport2[[#This Row],[Date envoie dossier mesure]])</f>
        <v>1900</v>
      </c>
      <c r="AB216" s="11"/>
      <c r="AC216" s="11"/>
      <c r="AE216" s="6" t="e">
        <f>RecetteTransport2[[#All],[Nb de reprises Optiques]]/#REF!</f>
        <v>#REF!</v>
      </c>
      <c r="AF216" s="6"/>
    </row>
    <row r="217" spans="1:32" x14ac:dyDescent="0.3">
      <c r="A217" t="s">
        <v>12</v>
      </c>
      <c r="D217" t="s">
        <v>519</v>
      </c>
      <c r="G217" s="11"/>
      <c r="H217" s="11"/>
      <c r="I217" s="11"/>
      <c r="J217" s="11">
        <f>RecetteTransport2[[#All],[Fibres TC NOK]]</f>
        <v>0</v>
      </c>
      <c r="K217" s="50">
        <f>RecetteTransport2[[#All],[Valeur Critique]]</f>
        <v>0</v>
      </c>
      <c r="L217" s="50">
        <f t="shared" si="12"/>
        <v>0</v>
      </c>
      <c r="P217" s="11">
        <f xml:space="preserve"> _xlfn.ISOWEEKNUM(RecetteTransport2[[#This Row],[Date validation Optique]])</f>
        <v>52</v>
      </c>
      <c r="Q217" s="11">
        <f>YEAR(RecetteTransport2[[#This Row],[Date validation Optique]])</f>
        <v>1900</v>
      </c>
      <c r="S217" s="47" t="e">
        <f>#REF!+10</f>
        <v>#REF!</v>
      </c>
      <c r="T217" s="50" t="e">
        <f>_xlfn.ISOWEEKNUM(RecetteTransport2[[#This Row],[Date Achevement  Mécanique]])</f>
        <v>#REF!</v>
      </c>
      <c r="U217" s="50" t="e">
        <f>YEAR(RecetteTransport2[[#This Row],[Date Achevement  Mécanique]])</f>
        <v>#REF!</v>
      </c>
      <c r="V217" s="47"/>
      <c r="W217" s="50">
        <f>_xlfn.ISOWEEKNUM(RecetteTransport2[[#This Row],[Date de mesure]])</f>
        <v>52</v>
      </c>
      <c r="X217" s="11">
        <f>YEAR(RecetteTransport2[[#This Row],[Date de mesure]])</f>
        <v>1900</v>
      </c>
      <c r="Y217" s="47"/>
      <c r="Z217" s="50">
        <f>_xlfn.ISOWEEKNUM(RecetteTransport2[[#This Row],[Date envoie dossier mesure]])</f>
        <v>52</v>
      </c>
      <c r="AA217" s="50">
        <f>YEAR(RecetteTransport2[[#This Row],[Date envoie dossier mesure]])</f>
        <v>1900</v>
      </c>
      <c r="AB217" s="11"/>
      <c r="AC217" s="11"/>
      <c r="AE217" s="6" t="e">
        <f>RecetteTransport2[[#All],[Nb de reprises Optiques]]/#REF!</f>
        <v>#REF!</v>
      </c>
      <c r="AF217" s="6"/>
    </row>
    <row r="218" spans="1:32" hidden="1" x14ac:dyDescent="0.3">
      <c r="A218" t="s">
        <v>12</v>
      </c>
      <c r="B218" t="s">
        <v>20</v>
      </c>
      <c r="C218" t="s">
        <v>254</v>
      </c>
      <c r="D218" t="s">
        <v>257</v>
      </c>
      <c r="F218" t="s">
        <v>49</v>
      </c>
      <c r="G218" s="11"/>
      <c r="H218" s="11" t="s">
        <v>29</v>
      </c>
      <c r="I218" s="11" t="s">
        <v>29</v>
      </c>
      <c r="J218" s="11">
        <f>RecetteTransport2[[#All],[Fibres TC NOK]]</f>
        <v>1</v>
      </c>
      <c r="K218" s="50">
        <f>RecetteTransport2[[#All],[Valeur Critique]]</f>
        <v>2</v>
      </c>
      <c r="L218" s="50">
        <f>AD:AD</f>
        <v>21</v>
      </c>
      <c r="N218" t="s">
        <v>65</v>
      </c>
      <c r="P218">
        <f xml:space="preserve"> _xlfn.ISOWEEKNUM(RecetteTransport2[[#This Row],[Date validation Optique]])</f>
        <v>52</v>
      </c>
      <c r="Q218">
        <f>YEAR(RecetteTransport2[[#This Row],[Date validation Optique]])</f>
        <v>1900</v>
      </c>
      <c r="T218" s="50">
        <f>_xlfn.ISOWEEKNUM(RecetteTransport2[[#This Row],[Date Achevement  Mécanique]])</f>
        <v>52</v>
      </c>
      <c r="U218" s="50">
        <f>YEAR(RecetteTransport2[[#This Row],[Date Achevement  Mécanique]])</f>
        <v>1900</v>
      </c>
      <c r="V218" s="2"/>
      <c r="W218" s="50">
        <f>_xlfn.ISOWEEKNUM(RecetteTransport2[[#This Row],[Date de mesure]])</f>
        <v>52</v>
      </c>
      <c r="X218" s="11">
        <f>YEAR(RecetteTransport2[[#This Row],[Date de mesure]])</f>
        <v>1900</v>
      </c>
      <c r="Y218" s="2">
        <v>43873</v>
      </c>
      <c r="Z218" s="50">
        <f>_xlfn.ISOWEEKNUM(RecetteTransport2[[#This Row],[Date envoie dossier mesure]])</f>
        <v>7</v>
      </c>
      <c r="AA218" s="50">
        <f>YEAR(RecetteTransport2[[#This Row],[Date envoie dossier mesure]])</f>
        <v>2020</v>
      </c>
      <c r="AB218" s="11">
        <v>1</v>
      </c>
      <c r="AC218" s="11">
        <v>2</v>
      </c>
      <c r="AD218" s="50">
        <v>21</v>
      </c>
      <c r="AE218" s="6" t="e">
        <f>RecetteTransport2[[#All],[Nb de reprises Optiques]]/#REF!</f>
        <v>#REF!</v>
      </c>
      <c r="AF218" s="6"/>
    </row>
    <row r="219" spans="1:32" hidden="1" x14ac:dyDescent="0.3">
      <c r="A219" t="s">
        <v>12</v>
      </c>
      <c r="B219" t="s">
        <v>20</v>
      </c>
      <c r="C219" t="s">
        <v>44</v>
      </c>
      <c r="D219" t="s">
        <v>319</v>
      </c>
      <c r="G219" s="11"/>
      <c r="H219" s="11" t="s">
        <v>29</v>
      </c>
      <c r="I219" s="11" t="s">
        <v>29</v>
      </c>
      <c r="J219" s="11">
        <f>RecetteTransport2[[#All],[Fibres TC NOK]]</f>
        <v>1</v>
      </c>
      <c r="K219" s="50">
        <f>RecetteTransport2[[#All],[Valeur Critique]]</f>
        <v>0</v>
      </c>
      <c r="L219" s="50">
        <f>AD:AD</f>
        <v>33</v>
      </c>
      <c r="N219" t="s">
        <v>65</v>
      </c>
      <c r="P219">
        <f xml:space="preserve"> _xlfn.ISOWEEKNUM(RecetteTransport2[[#This Row],[Date validation Optique]])</f>
        <v>52</v>
      </c>
      <c r="Q219">
        <f>YEAR(RecetteTransport2[[#This Row],[Date validation Optique]])</f>
        <v>1900</v>
      </c>
      <c r="T219" s="50">
        <f>_xlfn.ISOWEEKNUM(RecetteTransport2[[#This Row],[Date Achevement  Mécanique]])</f>
        <v>52</v>
      </c>
      <c r="U219" s="50">
        <f>YEAR(RecetteTransport2[[#This Row],[Date Achevement  Mécanique]])</f>
        <v>1900</v>
      </c>
      <c r="V219" s="2"/>
      <c r="W219" s="50">
        <f>_xlfn.ISOWEEKNUM(RecetteTransport2[[#This Row],[Date de mesure]])</f>
        <v>52</v>
      </c>
      <c r="X219" s="11">
        <f>YEAR(RecetteTransport2[[#This Row],[Date de mesure]])</f>
        <v>1900</v>
      </c>
      <c r="Y219" s="2">
        <v>44221</v>
      </c>
      <c r="Z219" s="50">
        <f>_xlfn.ISOWEEKNUM(RecetteTransport2[[#This Row],[Date envoie dossier mesure]])</f>
        <v>4</v>
      </c>
      <c r="AA219" s="50">
        <f>YEAR(RecetteTransport2[[#This Row],[Date envoie dossier mesure]])</f>
        <v>2021</v>
      </c>
      <c r="AB219" s="11">
        <v>1</v>
      </c>
      <c r="AC219" s="11">
        <v>0</v>
      </c>
      <c r="AD219" s="50">
        <v>33</v>
      </c>
      <c r="AE219" s="6" t="e">
        <f>RecetteTransport2[[#All],[Nb de reprises Optiques]]/#REF!</f>
        <v>#REF!</v>
      </c>
      <c r="AF219" s="6"/>
    </row>
    <row r="220" spans="1:32" x14ac:dyDescent="0.3">
      <c r="A220" t="s">
        <v>12</v>
      </c>
      <c r="B220" t="s">
        <v>15</v>
      </c>
      <c r="C220" t="s">
        <v>602</v>
      </c>
      <c r="D220" t="s">
        <v>520</v>
      </c>
      <c r="G220" s="11"/>
      <c r="H220" s="11"/>
      <c r="I220" s="11"/>
      <c r="J220" s="11">
        <f>RecetteTransport2[[#All],[Fibres TC NOK]]</f>
        <v>0</v>
      </c>
      <c r="K220" s="50">
        <f>RecetteTransport2[[#All],[Valeur Critique]]</f>
        <v>0</v>
      </c>
      <c r="L220" s="50">
        <f t="shared" ref="L220:L240" si="13">AD:AD</f>
        <v>0</v>
      </c>
      <c r="P220" s="11">
        <f xml:space="preserve"> _xlfn.ISOWEEKNUM(RecetteTransport2[[#This Row],[Date validation Optique]])</f>
        <v>52</v>
      </c>
      <c r="Q220" s="11">
        <f>YEAR(RecetteTransport2[[#This Row],[Date validation Optique]])</f>
        <v>1900</v>
      </c>
      <c r="S220" s="47" t="e">
        <f>#REF!+10</f>
        <v>#REF!</v>
      </c>
      <c r="T220" s="50" t="e">
        <f>_xlfn.ISOWEEKNUM(RecetteTransport2[[#This Row],[Date Achevement  Mécanique]])</f>
        <v>#REF!</v>
      </c>
      <c r="U220" s="50" t="e">
        <f>YEAR(RecetteTransport2[[#This Row],[Date Achevement  Mécanique]])</f>
        <v>#REF!</v>
      </c>
      <c r="V220" s="47"/>
      <c r="W220" s="50">
        <f>_xlfn.ISOWEEKNUM(RecetteTransport2[[#This Row],[Date de mesure]])</f>
        <v>52</v>
      </c>
      <c r="X220" s="11">
        <f>YEAR(RecetteTransport2[[#This Row],[Date de mesure]])</f>
        <v>1900</v>
      </c>
      <c r="Y220" s="47"/>
      <c r="Z220" s="50">
        <f>_xlfn.ISOWEEKNUM(RecetteTransport2[[#This Row],[Date envoie dossier mesure]])</f>
        <v>52</v>
      </c>
      <c r="AA220" s="50">
        <f>YEAR(RecetteTransport2[[#This Row],[Date envoie dossier mesure]])</f>
        <v>1900</v>
      </c>
      <c r="AB220" s="11"/>
      <c r="AC220" s="11"/>
      <c r="AE220" s="6" t="e">
        <f>RecetteTransport2[[#All],[Nb de reprises Optiques]]/#REF!</f>
        <v>#REF!</v>
      </c>
      <c r="AF220" s="6"/>
    </row>
    <row r="221" spans="1:32" x14ac:dyDescent="0.3">
      <c r="A221" t="s">
        <v>12</v>
      </c>
      <c r="B221" t="s">
        <v>15</v>
      </c>
      <c r="C221" t="s">
        <v>602</v>
      </c>
      <c r="D221" t="s">
        <v>521</v>
      </c>
      <c r="G221" s="11"/>
      <c r="H221" s="11"/>
      <c r="I221" s="11"/>
      <c r="J221" s="11">
        <f>RecetteTransport2[[#All],[Fibres TC NOK]]</f>
        <v>0</v>
      </c>
      <c r="K221" s="50">
        <f>RecetteTransport2[[#All],[Valeur Critique]]</f>
        <v>0</v>
      </c>
      <c r="L221" s="50">
        <f t="shared" si="13"/>
        <v>0</v>
      </c>
      <c r="P221" s="11">
        <f xml:space="preserve"> _xlfn.ISOWEEKNUM(RecetteTransport2[[#This Row],[Date validation Optique]])</f>
        <v>52</v>
      </c>
      <c r="Q221" s="11">
        <f>YEAR(RecetteTransport2[[#This Row],[Date validation Optique]])</f>
        <v>1900</v>
      </c>
      <c r="S221" s="47" t="e">
        <f>#REF!+10</f>
        <v>#REF!</v>
      </c>
      <c r="T221" s="50" t="e">
        <f>_xlfn.ISOWEEKNUM(RecetteTransport2[[#This Row],[Date Achevement  Mécanique]])</f>
        <v>#REF!</v>
      </c>
      <c r="U221" s="50" t="e">
        <f>YEAR(RecetteTransport2[[#This Row],[Date Achevement  Mécanique]])</f>
        <v>#REF!</v>
      </c>
      <c r="V221" s="47"/>
      <c r="W221" s="50">
        <f>_xlfn.ISOWEEKNUM(RecetteTransport2[[#This Row],[Date de mesure]])</f>
        <v>52</v>
      </c>
      <c r="X221" s="11">
        <f>YEAR(RecetteTransport2[[#This Row],[Date de mesure]])</f>
        <v>1900</v>
      </c>
      <c r="Y221" s="47"/>
      <c r="Z221" s="50">
        <f>_xlfn.ISOWEEKNUM(RecetteTransport2[[#This Row],[Date envoie dossier mesure]])</f>
        <v>52</v>
      </c>
      <c r="AA221" s="50">
        <f>YEAR(RecetteTransport2[[#This Row],[Date envoie dossier mesure]])</f>
        <v>1900</v>
      </c>
      <c r="AB221" s="11"/>
      <c r="AC221" s="11"/>
      <c r="AE221" s="6" t="e">
        <f>RecetteTransport2[[#All],[Nb de reprises Optiques]]/#REF!</f>
        <v>#REF!</v>
      </c>
      <c r="AF221" s="6"/>
    </row>
    <row r="222" spans="1:32" x14ac:dyDescent="0.3">
      <c r="A222" t="s">
        <v>12</v>
      </c>
      <c r="B222" t="s">
        <v>15</v>
      </c>
      <c r="C222" t="s">
        <v>602</v>
      </c>
      <c r="D222" t="s">
        <v>522</v>
      </c>
      <c r="G222" s="11"/>
      <c r="H222" s="11"/>
      <c r="I222" s="11"/>
      <c r="J222" s="11">
        <f>RecetteTransport2[[#All],[Fibres TC NOK]]</f>
        <v>0</v>
      </c>
      <c r="K222" s="50">
        <f>RecetteTransport2[[#All],[Valeur Critique]]</f>
        <v>0</v>
      </c>
      <c r="L222" s="50">
        <f t="shared" si="13"/>
        <v>0</v>
      </c>
      <c r="P222" s="11">
        <f xml:space="preserve"> _xlfn.ISOWEEKNUM(RecetteTransport2[[#This Row],[Date validation Optique]])</f>
        <v>52</v>
      </c>
      <c r="Q222" s="11">
        <f>YEAR(RecetteTransport2[[#This Row],[Date validation Optique]])</f>
        <v>1900</v>
      </c>
      <c r="S222" s="47" t="e">
        <f>#REF!+10</f>
        <v>#REF!</v>
      </c>
      <c r="T222" s="50" t="e">
        <f>_xlfn.ISOWEEKNUM(RecetteTransport2[[#This Row],[Date Achevement  Mécanique]])</f>
        <v>#REF!</v>
      </c>
      <c r="U222" s="50" t="e">
        <f>YEAR(RecetteTransport2[[#This Row],[Date Achevement  Mécanique]])</f>
        <v>#REF!</v>
      </c>
      <c r="V222" s="47"/>
      <c r="W222" s="50">
        <f>_xlfn.ISOWEEKNUM(RecetteTransport2[[#This Row],[Date de mesure]])</f>
        <v>52</v>
      </c>
      <c r="X222" s="11">
        <f>YEAR(RecetteTransport2[[#This Row],[Date de mesure]])</f>
        <v>1900</v>
      </c>
      <c r="Y222" s="47"/>
      <c r="Z222" s="50">
        <f>_xlfn.ISOWEEKNUM(RecetteTransport2[[#This Row],[Date envoie dossier mesure]])</f>
        <v>52</v>
      </c>
      <c r="AA222" s="50">
        <f>YEAR(RecetteTransport2[[#This Row],[Date envoie dossier mesure]])</f>
        <v>1900</v>
      </c>
      <c r="AB222" s="11"/>
      <c r="AC222" s="11"/>
      <c r="AE222" s="6" t="e">
        <f>RecetteTransport2[[#All],[Nb de reprises Optiques]]/#REF!</f>
        <v>#REF!</v>
      </c>
      <c r="AF222" s="6"/>
    </row>
    <row r="223" spans="1:32" x14ac:dyDescent="0.3">
      <c r="A223" t="s">
        <v>12</v>
      </c>
      <c r="B223" t="s">
        <v>15</v>
      </c>
      <c r="C223" t="s">
        <v>602</v>
      </c>
      <c r="D223" t="s">
        <v>523</v>
      </c>
      <c r="G223" s="11"/>
      <c r="H223" s="11"/>
      <c r="I223" s="11"/>
      <c r="J223" s="11">
        <f>RecetteTransport2[[#All],[Fibres TC NOK]]</f>
        <v>0</v>
      </c>
      <c r="K223" s="50">
        <f>RecetteTransport2[[#All],[Valeur Critique]]</f>
        <v>0</v>
      </c>
      <c r="L223" s="50">
        <f t="shared" si="13"/>
        <v>0</v>
      </c>
      <c r="P223" s="11">
        <f xml:space="preserve"> _xlfn.ISOWEEKNUM(RecetteTransport2[[#This Row],[Date validation Optique]])</f>
        <v>52</v>
      </c>
      <c r="Q223" s="11">
        <f>YEAR(RecetteTransport2[[#This Row],[Date validation Optique]])</f>
        <v>1900</v>
      </c>
      <c r="S223" s="47" t="e">
        <f>#REF!+10</f>
        <v>#REF!</v>
      </c>
      <c r="T223" s="50" t="e">
        <f>_xlfn.ISOWEEKNUM(RecetteTransport2[[#This Row],[Date Achevement  Mécanique]])</f>
        <v>#REF!</v>
      </c>
      <c r="U223" s="50" t="e">
        <f>YEAR(RecetteTransport2[[#This Row],[Date Achevement  Mécanique]])</f>
        <v>#REF!</v>
      </c>
      <c r="V223" s="47"/>
      <c r="W223" s="50">
        <f>_xlfn.ISOWEEKNUM(RecetteTransport2[[#This Row],[Date de mesure]])</f>
        <v>52</v>
      </c>
      <c r="X223" s="11">
        <f>YEAR(RecetteTransport2[[#This Row],[Date de mesure]])</f>
        <v>1900</v>
      </c>
      <c r="Y223" s="47"/>
      <c r="Z223" s="50">
        <f>_xlfn.ISOWEEKNUM(RecetteTransport2[[#This Row],[Date envoie dossier mesure]])</f>
        <v>52</v>
      </c>
      <c r="AA223" s="50">
        <f>YEAR(RecetteTransport2[[#This Row],[Date envoie dossier mesure]])</f>
        <v>1900</v>
      </c>
      <c r="AB223" s="11"/>
      <c r="AC223" s="11"/>
      <c r="AE223" s="6" t="e">
        <f>RecetteTransport2[[#All],[Nb de reprises Optiques]]/#REF!</f>
        <v>#REF!</v>
      </c>
      <c r="AF223" s="6"/>
    </row>
    <row r="224" spans="1:32" x14ac:dyDescent="0.3">
      <c r="A224" t="s">
        <v>12</v>
      </c>
      <c r="B224" t="s">
        <v>15</v>
      </c>
      <c r="C224" t="s">
        <v>602</v>
      </c>
      <c r="D224" t="s">
        <v>524</v>
      </c>
      <c r="G224" s="11"/>
      <c r="H224" s="11"/>
      <c r="I224" s="11"/>
      <c r="J224" s="11">
        <f>RecetteTransport2[[#All],[Fibres TC NOK]]</f>
        <v>0</v>
      </c>
      <c r="K224" s="50">
        <f>RecetteTransport2[[#All],[Valeur Critique]]</f>
        <v>0</v>
      </c>
      <c r="L224" s="50">
        <f t="shared" si="13"/>
        <v>0</v>
      </c>
      <c r="P224" s="11">
        <f xml:space="preserve"> _xlfn.ISOWEEKNUM(RecetteTransport2[[#This Row],[Date validation Optique]])</f>
        <v>52</v>
      </c>
      <c r="Q224" s="11">
        <f>YEAR(RecetteTransport2[[#This Row],[Date validation Optique]])</f>
        <v>1900</v>
      </c>
      <c r="S224" s="47" t="e">
        <f>#REF!+10</f>
        <v>#REF!</v>
      </c>
      <c r="T224" s="50" t="e">
        <f>_xlfn.ISOWEEKNUM(RecetteTransport2[[#This Row],[Date Achevement  Mécanique]])</f>
        <v>#REF!</v>
      </c>
      <c r="U224" s="50" t="e">
        <f>YEAR(RecetteTransport2[[#This Row],[Date Achevement  Mécanique]])</f>
        <v>#REF!</v>
      </c>
      <c r="V224" s="47"/>
      <c r="W224" s="50">
        <f>_xlfn.ISOWEEKNUM(RecetteTransport2[[#This Row],[Date de mesure]])</f>
        <v>52</v>
      </c>
      <c r="X224" s="11">
        <f>YEAR(RecetteTransport2[[#This Row],[Date de mesure]])</f>
        <v>1900</v>
      </c>
      <c r="Y224" s="47"/>
      <c r="Z224" s="50">
        <f>_xlfn.ISOWEEKNUM(RecetteTransport2[[#This Row],[Date envoie dossier mesure]])</f>
        <v>52</v>
      </c>
      <c r="AA224" s="50">
        <f>YEAR(RecetteTransport2[[#This Row],[Date envoie dossier mesure]])</f>
        <v>1900</v>
      </c>
      <c r="AB224" s="11"/>
      <c r="AC224" s="11"/>
      <c r="AE224" s="6" t="e">
        <f>RecetteTransport2[[#All],[Nb de reprises Optiques]]/#REF!</f>
        <v>#REF!</v>
      </c>
      <c r="AF224" s="6"/>
    </row>
    <row r="225" spans="1:32" x14ac:dyDescent="0.3">
      <c r="A225" t="s">
        <v>12</v>
      </c>
      <c r="B225" t="s">
        <v>15</v>
      </c>
      <c r="C225" t="s">
        <v>602</v>
      </c>
      <c r="D225" t="s">
        <v>525</v>
      </c>
      <c r="G225" s="11"/>
      <c r="H225" s="11"/>
      <c r="I225" s="11"/>
      <c r="J225" s="11">
        <f>RecetteTransport2[[#All],[Fibres TC NOK]]</f>
        <v>0</v>
      </c>
      <c r="K225" s="50">
        <f>RecetteTransport2[[#All],[Valeur Critique]]</f>
        <v>0</v>
      </c>
      <c r="L225" s="50">
        <f t="shared" si="13"/>
        <v>0</v>
      </c>
      <c r="P225" s="11">
        <f xml:space="preserve"> _xlfn.ISOWEEKNUM(RecetteTransport2[[#This Row],[Date validation Optique]])</f>
        <v>52</v>
      </c>
      <c r="Q225" s="11">
        <f>YEAR(RecetteTransport2[[#This Row],[Date validation Optique]])</f>
        <v>1900</v>
      </c>
      <c r="S225" s="47" t="e">
        <f>#REF!+10</f>
        <v>#REF!</v>
      </c>
      <c r="T225" s="50" t="e">
        <f>_xlfn.ISOWEEKNUM(RecetteTransport2[[#This Row],[Date Achevement  Mécanique]])</f>
        <v>#REF!</v>
      </c>
      <c r="U225" s="50" t="e">
        <f>YEAR(RecetteTransport2[[#This Row],[Date Achevement  Mécanique]])</f>
        <v>#REF!</v>
      </c>
      <c r="V225" s="47"/>
      <c r="W225" s="50">
        <f>_xlfn.ISOWEEKNUM(RecetteTransport2[[#This Row],[Date de mesure]])</f>
        <v>52</v>
      </c>
      <c r="X225" s="11">
        <f>YEAR(RecetteTransport2[[#This Row],[Date de mesure]])</f>
        <v>1900</v>
      </c>
      <c r="Y225" s="47"/>
      <c r="Z225" s="50">
        <f>_xlfn.ISOWEEKNUM(RecetteTransport2[[#This Row],[Date envoie dossier mesure]])</f>
        <v>52</v>
      </c>
      <c r="AA225" s="50">
        <f>YEAR(RecetteTransport2[[#This Row],[Date envoie dossier mesure]])</f>
        <v>1900</v>
      </c>
      <c r="AB225" s="11"/>
      <c r="AC225" s="11"/>
      <c r="AE225" s="6" t="e">
        <f>RecetteTransport2[[#All],[Nb de reprises Optiques]]/#REF!</f>
        <v>#REF!</v>
      </c>
      <c r="AF225" s="6"/>
    </row>
    <row r="226" spans="1:32" x14ac:dyDescent="0.3">
      <c r="A226" t="s">
        <v>12</v>
      </c>
      <c r="B226" t="s">
        <v>15</v>
      </c>
      <c r="C226" t="s">
        <v>602</v>
      </c>
      <c r="D226" t="s">
        <v>526</v>
      </c>
      <c r="G226" s="11"/>
      <c r="H226" s="11"/>
      <c r="I226" s="11"/>
      <c r="J226" s="11">
        <f>RecetteTransport2[[#All],[Fibres TC NOK]]</f>
        <v>0</v>
      </c>
      <c r="K226" s="50">
        <f>RecetteTransport2[[#All],[Valeur Critique]]</f>
        <v>0</v>
      </c>
      <c r="L226" s="50">
        <f t="shared" si="13"/>
        <v>0</v>
      </c>
      <c r="P226" s="11">
        <f xml:space="preserve"> _xlfn.ISOWEEKNUM(RecetteTransport2[[#This Row],[Date validation Optique]])</f>
        <v>52</v>
      </c>
      <c r="Q226" s="11">
        <f>YEAR(RecetteTransport2[[#This Row],[Date validation Optique]])</f>
        <v>1900</v>
      </c>
      <c r="S226" s="47" t="e">
        <f>#REF!+10</f>
        <v>#REF!</v>
      </c>
      <c r="T226" s="50" t="e">
        <f>_xlfn.ISOWEEKNUM(RecetteTransport2[[#This Row],[Date Achevement  Mécanique]])</f>
        <v>#REF!</v>
      </c>
      <c r="U226" s="50" t="e">
        <f>YEAR(RecetteTransport2[[#This Row],[Date Achevement  Mécanique]])</f>
        <v>#REF!</v>
      </c>
      <c r="V226" s="47"/>
      <c r="W226" s="50">
        <f>_xlfn.ISOWEEKNUM(RecetteTransport2[[#This Row],[Date de mesure]])</f>
        <v>52</v>
      </c>
      <c r="X226" s="11">
        <f>YEAR(RecetteTransport2[[#This Row],[Date de mesure]])</f>
        <v>1900</v>
      </c>
      <c r="Y226" s="47"/>
      <c r="Z226" s="50">
        <f>_xlfn.ISOWEEKNUM(RecetteTransport2[[#This Row],[Date envoie dossier mesure]])</f>
        <v>52</v>
      </c>
      <c r="AA226" s="50">
        <f>YEAR(RecetteTransport2[[#This Row],[Date envoie dossier mesure]])</f>
        <v>1900</v>
      </c>
      <c r="AB226" s="11"/>
      <c r="AC226" s="11"/>
      <c r="AE226" s="6" t="e">
        <f>RecetteTransport2[[#All],[Nb de reprises Optiques]]/#REF!</f>
        <v>#REF!</v>
      </c>
      <c r="AF226" s="6"/>
    </row>
    <row r="227" spans="1:32" x14ac:dyDescent="0.3">
      <c r="A227" t="s">
        <v>12</v>
      </c>
      <c r="B227" t="s">
        <v>15</v>
      </c>
      <c r="C227" t="s">
        <v>602</v>
      </c>
      <c r="D227" t="s">
        <v>527</v>
      </c>
      <c r="G227" s="11"/>
      <c r="H227" s="11"/>
      <c r="I227" s="11"/>
      <c r="J227" s="11">
        <f>RecetteTransport2[[#All],[Fibres TC NOK]]</f>
        <v>0</v>
      </c>
      <c r="K227" s="50">
        <f>RecetteTransport2[[#All],[Valeur Critique]]</f>
        <v>0</v>
      </c>
      <c r="L227" s="50">
        <f t="shared" si="13"/>
        <v>0</v>
      </c>
      <c r="P227" s="11">
        <f xml:space="preserve"> _xlfn.ISOWEEKNUM(RecetteTransport2[[#This Row],[Date validation Optique]])</f>
        <v>52</v>
      </c>
      <c r="Q227" s="11">
        <f>YEAR(RecetteTransport2[[#This Row],[Date validation Optique]])</f>
        <v>1900</v>
      </c>
      <c r="S227" s="47" t="e">
        <f>#REF!+10</f>
        <v>#REF!</v>
      </c>
      <c r="T227" s="50" t="e">
        <f>_xlfn.ISOWEEKNUM(RecetteTransport2[[#This Row],[Date Achevement  Mécanique]])</f>
        <v>#REF!</v>
      </c>
      <c r="U227" s="50" t="e">
        <f>YEAR(RecetteTransport2[[#This Row],[Date Achevement  Mécanique]])</f>
        <v>#REF!</v>
      </c>
      <c r="V227" s="47"/>
      <c r="W227" s="50">
        <f>_xlfn.ISOWEEKNUM(RecetteTransport2[[#This Row],[Date de mesure]])</f>
        <v>52</v>
      </c>
      <c r="X227" s="11">
        <f>YEAR(RecetteTransport2[[#This Row],[Date de mesure]])</f>
        <v>1900</v>
      </c>
      <c r="Y227" s="47"/>
      <c r="Z227" s="50">
        <f>_xlfn.ISOWEEKNUM(RecetteTransport2[[#This Row],[Date envoie dossier mesure]])</f>
        <v>52</v>
      </c>
      <c r="AA227" s="50">
        <f>YEAR(RecetteTransport2[[#This Row],[Date envoie dossier mesure]])</f>
        <v>1900</v>
      </c>
      <c r="AB227" s="11"/>
      <c r="AC227" s="11"/>
      <c r="AE227" s="6" t="e">
        <f>RecetteTransport2[[#All],[Nb de reprises Optiques]]/#REF!</f>
        <v>#REF!</v>
      </c>
      <c r="AF227" s="6"/>
    </row>
    <row r="228" spans="1:32" x14ac:dyDescent="0.3">
      <c r="A228" t="s">
        <v>12</v>
      </c>
      <c r="D228" t="s">
        <v>319</v>
      </c>
      <c r="G228" s="11"/>
      <c r="H228" s="11"/>
      <c r="I228" s="11"/>
      <c r="J228" s="11">
        <f>RecetteTransport2[[#All],[Fibres TC NOK]]</f>
        <v>0</v>
      </c>
      <c r="K228" s="50">
        <f>RecetteTransport2[[#All],[Valeur Critique]]</f>
        <v>0</v>
      </c>
      <c r="L228" s="50">
        <f t="shared" si="13"/>
        <v>0</v>
      </c>
      <c r="P228" s="11">
        <f xml:space="preserve"> _xlfn.ISOWEEKNUM(RecetteTransport2[[#This Row],[Date validation Optique]])</f>
        <v>52</v>
      </c>
      <c r="Q228" s="11">
        <f>YEAR(RecetteTransport2[[#This Row],[Date validation Optique]])</f>
        <v>1900</v>
      </c>
      <c r="S228" s="47" t="e">
        <f>#REF!+10</f>
        <v>#REF!</v>
      </c>
      <c r="T228" s="50" t="e">
        <f>_xlfn.ISOWEEKNUM(RecetteTransport2[[#This Row],[Date Achevement  Mécanique]])</f>
        <v>#REF!</v>
      </c>
      <c r="U228" s="50" t="e">
        <f>YEAR(RecetteTransport2[[#This Row],[Date Achevement  Mécanique]])</f>
        <v>#REF!</v>
      </c>
      <c r="V228" s="47"/>
      <c r="W228" s="50">
        <f>_xlfn.ISOWEEKNUM(RecetteTransport2[[#This Row],[Date de mesure]])</f>
        <v>52</v>
      </c>
      <c r="X228" s="11">
        <f>YEAR(RecetteTransport2[[#This Row],[Date de mesure]])</f>
        <v>1900</v>
      </c>
      <c r="Y228" s="47"/>
      <c r="Z228" s="50">
        <f>_xlfn.ISOWEEKNUM(RecetteTransport2[[#This Row],[Date envoie dossier mesure]])</f>
        <v>52</v>
      </c>
      <c r="AA228" s="50">
        <f>YEAR(RecetteTransport2[[#This Row],[Date envoie dossier mesure]])</f>
        <v>1900</v>
      </c>
      <c r="AB228" s="11"/>
      <c r="AC228" s="11"/>
      <c r="AE228" s="6" t="e">
        <f>RecetteTransport2[[#All],[Nb de reprises Optiques]]/#REF!</f>
        <v>#REF!</v>
      </c>
      <c r="AF228" s="6"/>
    </row>
    <row r="229" spans="1:32" x14ac:dyDescent="0.3">
      <c r="A229" t="s">
        <v>12</v>
      </c>
      <c r="B229" t="s">
        <v>15</v>
      </c>
      <c r="D229" t="s">
        <v>528</v>
      </c>
      <c r="G229" s="11"/>
      <c r="H229" s="11"/>
      <c r="I229" s="11"/>
      <c r="J229" s="11">
        <f>RecetteTransport2[[#All],[Fibres TC NOK]]</f>
        <v>0</v>
      </c>
      <c r="K229" s="50">
        <f>RecetteTransport2[[#All],[Valeur Critique]]</f>
        <v>0</v>
      </c>
      <c r="L229" s="50">
        <f t="shared" si="13"/>
        <v>0</v>
      </c>
      <c r="P229" s="11">
        <f xml:space="preserve"> _xlfn.ISOWEEKNUM(RecetteTransport2[[#This Row],[Date validation Optique]])</f>
        <v>52</v>
      </c>
      <c r="Q229" s="11">
        <f>YEAR(RecetteTransport2[[#This Row],[Date validation Optique]])</f>
        <v>1900</v>
      </c>
      <c r="S229" s="47" t="e">
        <f>#REF!+10</f>
        <v>#REF!</v>
      </c>
      <c r="T229" s="50" t="e">
        <f>_xlfn.ISOWEEKNUM(RecetteTransport2[[#This Row],[Date Achevement  Mécanique]])</f>
        <v>#REF!</v>
      </c>
      <c r="U229" s="50" t="e">
        <f>YEAR(RecetteTransport2[[#This Row],[Date Achevement  Mécanique]])</f>
        <v>#REF!</v>
      </c>
      <c r="V229" s="47"/>
      <c r="W229" s="50">
        <f>_xlfn.ISOWEEKNUM(RecetteTransport2[[#This Row],[Date de mesure]])</f>
        <v>52</v>
      </c>
      <c r="X229" s="11">
        <f>YEAR(RecetteTransport2[[#This Row],[Date de mesure]])</f>
        <v>1900</v>
      </c>
      <c r="Y229" s="47"/>
      <c r="Z229" s="50">
        <f>_xlfn.ISOWEEKNUM(RecetteTransport2[[#This Row],[Date envoie dossier mesure]])</f>
        <v>52</v>
      </c>
      <c r="AA229" s="50">
        <f>YEAR(RecetteTransport2[[#This Row],[Date envoie dossier mesure]])</f>
        <v>1900</v>
      </c>
      <c r="AB229" s="11"/>
      <c r="AC229" s="11"/>
      <c r="AE229" s="6" t="e">
        <f>RecetteTransport2[[#All],[Nb de reprises Optiques]]/#REF!</f>
        <v>#REF!</v>
      </c>
      <c r="AF229" s="6"/>
    </row>
    <row r="230" spans="1:32" x14ac:dyDescent="0.3">
      <c r="A230" t="s">
        <v>12</v>
      </c>
      <c r="B230" t="s">
        <v>15</v>
      </c>
      <c r="D230" t="s">
        <v>529</v>
      </c>
      <c r="G230" s="11"/>
      <c r="H230" s="11"/>
      <c r="I230" s="11"/>
      <c r="J230" s="11">
        <f>RecetteTransport2[[#All],[Fibres TC NOK]]</f>
        <v>0</v>
      </c>
      <c r="K230" s="50">
        <f>RecetteTransport2[[#All],[Valeur Critique]]</f>
        <v>0</v>
      </c>
      <c r="L230" s="50">
        <f t="shared" si="13"/>
        <v>0</v>
      </c>
      <c r="P230" s="11">
        <f xml:space="preserve"> _xlfn.ISOWEEKNUM(RecetteTransport2[[#This Row],[Date validation Optique]])</f>
        <v>52</v>
      </c>
      <c r="Q230" s="11">
        <f>YEAR(RecetteTransport2[[#This Row],[Date validation Optique]])</f>
        <v>1900</v>
      </c>
      <c r="S230" s="47" t="e">
        <f>#REF!+10</f>
        <v>#REF!</v>
      </c>
      <c r="T230" s="50" t="e">
        <f>_xlfn.ISOWEEKNUM(RecetteTransport2[[#This Row],[Date Achevement  Mécanique]])</f>
        <v>#REF!</v>
      </c>
      <c r="U230" s="50" t="e">
        <f>YEAR(RecetteTransport2[[#This Row],[Date Achevement  Mécanique]])</f>
        <v>#REF!</v>
      </c>
      <c r="V230" s="47"/>
      <c r="W230" s="50">
        <f>_xlfn.ISOWEEKNUM(RecetteTransport2[[#This Row],[Date de mesure]])</f>
        <v>52</v>
      </c>
      <c r="X230" s="11">
        <f>YEAR(RecetteTransport2[[#This Row],[Date de mesure]])</f>
        <v>1900</v>
      </c>
      <c r="Y230" s="47"/>
      <c r="Z230" s="50">
        <f>_xlfn.ISOWEEKNUM(RecetteTransport2[[#This Row],[Date envoie dossier mesure]])</f>
        <v>52</v>
      </c>
      <c r="AA230" s="50">
        <f>YEAR(RecetteTransport2[[#This Row],[Date envoie dossier mesure]])</f>
        <v>1900</v>
      </c>
      <c r="AB230" s="11"/>
      <c r="AC230" s="11"/>
      <c r="AE230" s="6" t="e">
        <f>RecetteTransport2[[#All],[Nb de reprises Optiques]]/#REF!</f>
        <v>#REF!</v>
      </c>
      <c r="AF230" s="6"/>
    </row>
    <row r="231" spans="1:32" x14ac:dyDescent="0.3">
      <c r="A231" t="s">
        <v>12</v>
      </c>
      <c r="B231" t="s">
        <v>15</v>
      </c>
      <c r="D231" t="s">
        <v>530</v>
      </c>
      <c r="G231" s="11"/>
      <c r="H231" s="11"/>
      <c r="I231" s="11"/>
      <c r="J231" s="11">
        <f>RecetteTransport2[[#All],[Fibres TC NOK]]</f>
        <v>0</v>
      </c>
      <c r="K231" s="50">
        <f>RecetteTransport2[[#All],[Valeur Critique]]</f>
        <v>0</v>
      </c>
      <c r="L231" s="50">
        <f t="shared" si="13"/>
        <v>0</v>
      </c>
      <c r="P231" s="11">
        <f xml:space="preserve"> _xlfn.ISOWEEKNUM(RecetteTransport2[[#This Row],[Date validation Optique]])</f>
        <v>52</v>
      </c>
      <c r="Q231" s="11">
        <f>YEAR(RecetteTransport2[[#This Row],[Date validation Optique]])</f>
        <v>1900</v>
      </c>
      <c r="S231" s="47" t="e">
        <f>#REF!+10</f>
        <v>#REF!</v>
      </c>
      <c r="T231" s="50" t="e">
        <f>_xlfn.ISOWEEKNUM(RecetteTransport2[[#This Row],[Date Achevement  Mécanique]])</f>
        <v>#REF!</v>
      </c>
      <c r="U231" s="50" t="e">
        <f>YEAR(RecetteTransport2[[#This Row],[Date Achevement  Mécanique]])</f>
        <v>#REF!</v>
      </c>
      <c r="V231" s="47"/>
      <c r="W231" s="50">
        <f>_xlfn.ISOWEEKNUM(RecetteTransport2[[#This Row],[Date de mesure]])</f>
        <v>52</v>
      </c>
      <c r="X231" s="11">
        <f>YEAR(RecetteTransport2[[#This Row],[Date de mesure]])</f>
        <v>1900</v>
      </c>
      <c r="Y231" s="47"/>
      <c r="Z231" s="50">
        <f>_xlfn.ISOWEEKNUM(RecetteTransport2[[#This Row],[Date envoie dossier mesure]])</f>
        <v>52</v>
      </c>
      <c r="AA231" s="50">
        <f>YEAR(RecetteTransport2[[#This Row],[Date envoie dossier mesure]])</f>
        <v>1900</v>
      </c>
      <c r="AB231" s="11"/>
      <c r="AC231" s="11"/>
      <c r="AE231" s="6" t="e">
        <f>RecetteTransport2[[#All],[Nb de reprises Optiques]]/#REF!</f>
        <v>#REF!</v>
      </c>
      <c r="AF231" s="6"/>
    </row>
    <row r="232" spans="1:32" x14ac:dyDescent="0.3">
      <c r="A232" t="s">
        <v>12</v>
      </c>
      <c r="B232" t="s">
        <v>15</v>
      </c>
      <c r="D232" t="s">
        <v>531</v>
      </c>
      <c r="G232" s="11"/>
      <c r="H232" s="11"/>
      <c r="I232" s="11"/>
      <c r="J232" s="11">
        <f>RecetteTransport2[[#All],[Fibres TC NOK]]</f>
        <v>0</v>
      </c>
      <c r="K232" s="50">
        <f>RecetteTransport2[[#All],[Valeur Critique]]</f>
        <v>0</v>
      </c>
      <c r="L232" s="50">
        <f t="shared" si="13"/>
        <v>0</v>
      </c>
      <c r="P232" s="11">
        <f xml:space="preserve"> _xlfn.ISOWEEKNUM(RecetteTransport2[[#This Row],[Date validation Optique]])</f>
        <v>52</v>
      </c>
      <c r="Q232" s="11">
        <f>YEAR(RecetteTransport2[[#This Row],[Date validation Optique]])</f>
        <v>1900</v>
      </c>
      <c r="S232" s="47" t="e">
        <f>#REF!+10</f>
        <v>#REF!</v>
      </c>
      <c r="T232" s="50" t="e">
        <f>_xlfn.ISOWEEKNUM(RecetteTransport2[[#This Row],[Date Achevement  Mécanique]])</f>
        <v>#REF!</v>
      </c>
      <c r="U232" s="50" t="e">
        <f>YEAR(RecetteTransport2[[#This Row],[Date Achevement  Mécanique]])</f>
        <v>#REF!</v>
      </c>
      <c r="V232" s="47"/>
      <c r="W232" s="50">
        <f>_xlfn.ISOWEEKNUM(RecetteTransport2[[#This Row],[Date de mesure]])</f>
        <v>52</v>
      </c>
      <c r="X232" s="11">
        <f>YEAR(RecetteTransport2[[#This Row],[Date de mesure]])</f>
        <v>1900</v>
      </c>
      <c r="Y232" s="47"/>
      <c r="Z232" s="50">
        <f>_xlfn.ISOWEEKNUM(RecetteTransport2[[#This Row],[Date envoie dossier mesure]])</f>
        <v>52</v>
      </c>
      <c r="AA232" s="50">
        <f>YEAR(RecetteTransport2[[#This Row],[Date envoie dossier mesure]])</f>
        <v>1900</v>
      </c>
      <c r="AB232" s="11"/>
      <c r="AC232" s="11"/>
      <c r="AE232" s="6" t="e">
        <f>RecetteTransport2[[#All],[Nb de reprises Optiques]]/#REF!</f>
        <v>#REF!</v>
      </c>
      <c r="AF232" s="6"/>
    </row>
    <row r="233" spans="1:32" x14ac:dyDescent="0.3">
      <c r="A233" t="s">
        <v>12</v>
      </c>
      <c r="B233" t="s">
        <v>15</v>
      </c>
      <c r="D233" t="s">
        <v>532</v>
      </c>
      <c r="G233" s="11"/>
      <c r="H233" s="11"/>
      <c r="I233" s="11"/>
      <c r="J233" s="11">
        <f>RecetteTransport2[[#All],[Fibres TC NOK]]</f>
        <v>0</v>
      </c>
      <c r="K233" s="50">
        <f>RecetteTransport2[[#All],[Valeur Critique]]</f>
        <v>0</v>
      </c>
      <c r="L233" s="50">
        <f t="shared" si="13"/>
        <v>0</v>
      </c>
      <c r="P233" s="11">
        <f xml:space="preserve"> _xlfn.ISOWEEKNUM(RecetteTransport2[[#This Row],[Date validation Optique]])</f>
        <v>52</v>
      </c>
      <c r="Q233" s="11">
        <f>YEAR(RecetteTransport2[[#This Row],[Date validation Optique]])</f>
        <v>1900</v>
      </c>
      <c r="S233" s="47" t="e">
        <f>#REF!+10</f>
        <v>#REF!</v>
      </c>
      <c r="T233" s="50" t="e">
        <f>_xlfn.ISOWEEKNUM(RecetteTransport2[[#This Row],[Date Achevement  Mécanique]])</f>
        <v>#REF!</v>
      </c>
      <c r="U233" s="50" t="e">
        <f>YEAR(RecetteTransport2[[#This Row],[Date Achevement  Mécanique]])</f>
        <v>#REF!</v>
      </c>
      <c r="V233" s="47"/>
      <c r="W233" s="50">
        <f>_xlfn.ISOWEEKNUM(RecetteTransport2[[#This Row],[Date de mesure]])</f>
        <v>52</v>
      </c>
      <c r="X233" s="11">
        <f>YEAR(RecetteTransport2[[#This Row],[Date de mesure]])</f>
        <v>1900</v>
      </c>
      <c r="Y233" s="47"/>
      <c r="Z233" s="50">
        <f>_xlfn.ISOWEEKNUM(RecetteTransport2[[#This Row],[Date envoie dossier mesure]])</f>
        <v>52</v>
      </c>
      <c r="AA233" s="50">
        <f>YEAR(RecetteTransport2[[#This Row],[Date envoie dossier mesure]])</f>
        <v>1900</v>
      </c>
      <c r="AB233" s="11"/>
      <c r="AC233" s="11"/>
      <c r="AE233" s="6" t="e">
        <f>RecetteTransport2[[#All],[Nb de reprises Optiques]]/#REF!</f>
        <v>#REF!</v>
      </c>
      <c r="AF233" s="6"/>
    </row>
    <row r="234" spans="1:32" x14ac:dyDescent="0.3">
      <c r="A234" t="s">
        <v>12</v>
      </c>
      <c r="B234" t="s">
        <v>15</v>
      </c>
      <c r="D234" t="s">
        <v>533</v>
      </c>
      <c r="G234" s="11"/>
      <c r="H234" s="11"/>
      <c r="I234" s="11"/>
      <c r="J234" s="11">
        <f>RecetteTransport2[[#All],[Fibres TC NOK]]</f>
        <v>0</v>
      </c>
      <c r="K234" s="50">
        <f>RecetteTransport2[[#All],[Valeur Critique]]</f>
        <v>0</v>
      </c>
      <c r="L234" s="50">
        <f t="shared" si="13"/>
        <v>0</v>
      </c>
      <c r="P234" s="11">
        <f xml:space="preserve"> _xlfn.ISOWEEKNUM(RecetteTransport2[[#This Row],[Date validation Optique]])</f>
        <v>52</v>
      </c>
      <c r="Q234" s="11">
        <f>YEAR(RecetteTransport2[[#This Row],[Date validation Optique]])</f>
        <v>1900</v>
      </c>
      <c r="S234" s="47" t="e">
        <f>#REF!+10</f>
        <v>#REF!</v>
      </c>
      <c r="T234" s="50" t="e">
        <f>_xlfn.ISOWEEKNUM(RecetteTransport2[[#This Row],[Date Achevement  Mécanique]])</f>
        <v>#REF!</v>
      </c>
      <c r="U234" s="50" t="e">
        <f>YEAR(RecetteTransport2[[#This Row],[Date Achevement  Mécanique]])</f>
        <v>#REF!</v>
      </c>
      <c r="V234" s="47"/>
      <c r="W234" s="50">
        <f>_xlfn.ISOWEEKNUM(RecetteTransport2[[#This Row],[Date de mesure]])</f>
        <v>52</v>
      </c>
      <c r="X234" s="11">
        <f>YEAR(RecetteTransport2[[#This Row],[Date de mesure]])</f>
        <v>1900</v>
      </c>
      <c r="Y234" s="47"/>
      <c r="Z234" s="50">
        <f>_xlfn.ISOWEEKNUM(RecetteTransport2[[#This Row],[Date envoie dossier mesure]])</f>
        <v>52</v>
      </c>
      <c r="AA234" s="50">
        <f>YEAR(RecetteTransport2[[#This Row],[Date envoie dossier mesure]])</f>
        <v>1900</v>
      </c>
      <c r="AB234" s="11"/>
      <c r="AC234" s="11"/>
      <c r="AE234" s="6" t="e">
        <f>RecetteTransport2[[#All],[Nb de reprises Optiques]]/#REF!</f>
        <v>#REF!</v>
      </c>
      <c r="AF234" s="6"/>
    </row>
    <row r="235" spans="1:32" x14ac:dyDescent="0.3">
      <c r="A235" t="s">
        <v>12</v>
      </c>
      <c r="D235" t="s">
        <v>534</v>
      </c>
      <c r="G235" s="11"/>
      <c r="H235" s="11"/>
      <c r="I235" s="11"/>
      <c r="J235" s="11">
        <f>RecetteTransport2[[#All],[Fibres TC NOK]]</f>
        <v>0</v>
      </c>
      <c r="K235" s="50">
        <f>RecetteTransport2[[#All],[Valeur Critique]]</f>
        <v>0</v>
      </c>
      <c r="L235" s="50">
        <f t="shared" si="13"/>
        <v>0</v>
      </c>
      <c r="P235" s="11">
        <f xml:space="preserve"> _xlfn.ISOWEEKNUM(RecetteTransport2[[#This Row],[Date validation Optique]])</f>
        <v>52</v>
      </c>
      <c r="Q235" s="11">
        <f>YEAR(RecetteTransport2[[#This Row],[Date validation Optique]])</f>
        <v>1900</v>
      </c>
      <c r="S235" s="47" t="e">
        <f>#REF!+10</f>
        <v>#REF!</v>
      </c>
      <c r="T235" s="50" t="e">
        <f>_xlfn.ISOWEEKNUM(RecetteTransport2[[#This Row],[Date Achevement  Mécanique]])</f>
        <v>#REF!</v>
      </c>
      <c r="U235" s="50" t="e">
        <f>YEAR(RecetteTransport2[[#This Row],[Date Achevement  Mécanique]])</f>
        <v>#REF!</v>
      </c>
      <c r="V235" s="47"/>
      <c r="W235" s="50">
        <f>_xlfn.ISOWEEKNUM(RecetteTransport2[[#This Row],[Date de mesure]])</f>
        <v>52</v>
      </c>
      <c r="X235" s="11">
        <f>YEAR(RecetteTransport2[[#This Row],[Date de mesure]])</f>
        <v>1900</v>
      </c>
      <c r="Y235" s="47"/>
      <c r="Z235" s="50">
        <f>_xlfn.ISOWEEKNUM(RecetteTransport2[[#This Row],[Date envoie dossier mesure]])</f>
        <v>52</v>
      </c>
      <c r="AA235" s="50">
        <f>YEAR(RecetteTransport2[[#This Row],[Date envoie dossier mesure]])</f>
        <v>1900</v>
      </c>
      <c r="AB235" s="11"/>
      <c r="AC235" s="11"/>
      <c r="AE235" s="6" t="e">
        <f>RecetteTransport2[[#All],[Nb de reprises Optiques]]/#REF!</f>
        <v>#REF!</v>
      </c>
      <c r="AF235" s="6"/>
    </row>
    <row r="236" spans="1:32" x14ac:dyDescent="0.3">
      <c r="A236" t="s">
        <v>12</v>
      </c>
      <c r="B236" t="s">
        <v>15</v>
      </c>
      <c r="C236" t="s">
        <v>439</v>
      </c>
      <c r="D236" t="s">
        <v>441</v>
      </c>
      <c r="G236" s="11"/>
      <c r="H236" s="11"/>
      <c r="I236" s="11"/>
      <c r="J236" s="11">
        <f>RecetteTransport2[[#All],[Fibres TC NOK]]</f>
        <v>0</v>
      </c>
      <c r="K236" s="50">
        <f>RecetteTransport2[[#All],[Valeur Critique]]</f>
        <v>0</v>
      </c>
      <c r="L236" s="50">
        <f t="shared" si="13"/>
        <v>0</v>
      </c>
      <c r="P236" s="11">
        <f xml:space="preserve"> _xlfn.ISOWEEKNUM(RecetteTransport2[[#This Row],[Date validation Optique]])</f>
        <v>52</v>
      </c>
      <c r="Q236" s="11">
        <f>YEAR(RecetteTransport2[[#This Row],[Date validation Optique]])</f>
        <v>1900</v>
      </c>
      <c r="S236" s="47" t="e">
        <f>#REF!+10</f>
        <v>#REF!</v>
      </c>
      <c r="T236" s="50" t="e">
        <f>_xlfn.ISOWEEKNUM(RecetteTransport2[[#This Row],[Date Achevement  Mécanique]])</f>
        <v>#REF!</v>
      </c>
      <c r="U236" s="50" t="e">
        <f>YEAR(RecetteTransport2[[#This Row],[Date Achevement  Mécanique]])</f>
        <v>#REF!</v>
      </c>
      <c r="V236" s="2"/>
      <c r="W236" s="50">
        <f>_xlfn.ISOWEEKNUM(RecetteTransport2[[#This Row],[Date de mesure]])</f>
        <v>52</v>
      </c>
      <c r="X236" s="11">
        <f>YEAR(RecetteTransport2[[#This Row],[Date de mesure]])</f>
        <v>1900</v>
      </c>
      <c r="Z236" s="50">
        <f>_xlfn.ISOWEEKNUM(RecetteTransport2[[#This Row],[Date envoie dossier mesure]])</f>
        <v>52</v>
      </c>
      <c r="AA236" s="50">
        <f>YEAR(RecetteTransport2[[#This Row],[Date envoie dossier mesure]])</f>
        <v>1900</v>
      </c>
      <c r="AB236" s="11"/>
      <c r="AC236" s="11"/>
      <c r="AE236" s="6" t="e">
        <f>RecetteTransport2[[#All],[Nb de reprises Optiques]]/#REF!</f>
        <v>#REF!</v>
      </c>
      <c r="AF236" s="6"/>
    </row>
    <row r="237" spans="1:32" x14ac:dyDescent="0.3">
      <c r="A237" t="s">
        <v>12</v>
      </c>
      <c r="B237" t="s">
        <v>15</v>
      </c>
      <c r="D237" t="s">
        <v>535</v>
      </c>
      <c r="G237" s="11"/>
      <c r="H237" s="11"/>
      <c r="I237" s="11"/>
      <c r="J237" s="11">
        <f>RecetteTransport2[[#All],[Fibres TC NOK]]</f>
        <v>0</v>
      </c>
      <c r="K237" s="50">
        <f>RecetteTransport2[[#All],[Valeur Critique]]</f>
        <v>0</v>
      </c>
      <c r="L237" s="50">
        <f t="shared" si="13"/>
        <v>0</v>
      </c>
      <c r="P237" s="11">
        <f xml:space="preserve"> _xlfn.ISOWEEKNUM(RecetteTransport2[[#This Row],[Date validation Optique]])</f>
        <v>52</v>
      </c>
      <c r="Q237" s="11">
        <f>YEAR(RecetteTransport2[[#This Row],[Date validation Optique]])</f>
        <v>1900</v>
      </c>
      <c r="S237" s="47" t="e">
        <f>#REF!+10</f>
        <v>#REF!</v>
      </c>
      <c r="T237" s="50" t="e">
        <f>_xlfn.ISOWEEKNUM(RecetteTransport2[[#This Row],[Date Achevement  Mécanique]])</f>
        <v>#REF!</v>
      </c>
      <c r="U237" s="50" t="e">
        <f>YEAR(RecetteTransport2[[#This Row],[Date Achevement  Mécanique]])</f>
        <v>#REF!</v>
      </c>
      <c r="V237" s="47"/>
      <c r="W237" s="50">
        <f>_xlfn.ISOWEEKNUM(RecetteTransport2[[#This Row],[Date de mesure]])</f>
        <v>52</v>
      </c>
      <c r="X237" s="11">
        <f>YEAR(RecetteTransport2[[#This Row],[Date de mesure]])</f>
        <v>1900</v>
      </c>
      <c r="Y237" s="47"/>
      <c r="Z237" s="50">
        <f>_xlfn.ISOWEEKNUM(RecetteTransport2[[#This Row],[Date envoie dossier mesure]])</f>
        <v>52</v>
      </c>
      <c r="AA237" s="50">
        <f>YEAR(RecetteTransport2[[#This Row],[Date envoie dossier mesure]])</f>
        <v>1900</v>
      </c>
      <c r="AB237" s="11"/>
      <c r="AC237" s="11"/>
      <c r="AE237" s="6" t="e">
        <f>RecetteTransport2[[#All],[Nb de reprises Optiques]]/#REF!</f>
        <v>#REF!</v>
      </c>
      <c r="AF237" s="6"/>
    </row>
    <row r="238" spans="1:32" x14ac:dyDescent="0.3">
      <c r="A238" t="s">
        <v>12</v>
      </c>
      <c r="B238" t="s">
        <v>15</v>
      </c>
      <c r="C238" t="s">
        <v>439</v>
      </c>
      <c r="D238" t="s">
        <v>440</v>
      </c>
      <c r="G238" s="11"/>
      <c r="H238" s="11"/>
      <c r="I238" s="11"/>
      <c r="J238" s="11">
        <f>RecetteTransport2[[#All],[Fibres TC NOK]]</f>
        <v>0</v>
      </c>
      <c r="K238" s="50">
        <f>RecetteTransport2[[#All],[Valeur Critique]]</f>
        <v>0</v>
      </c>
      <c r="L238" s="50">
        <f t="shared" si="13"/>
        <v>0</v>
      </c>
      <c r="P238" s="11">
        <f xml:space="preserve"> _xlfn.ISOWEEKNUM(RecetteTransport2[[#This Row],[Date validation Optique]])</f>
        <v>52</v>
      </c>
      <c r="Q238" s="11">
        <f>YEAR(RecetteTransport2[[#This Row],[Date validation Optique]])</f>
        <v>1900</v>
      </c>
      <c r="S238" s="47" t="e">
        <f>#REF!+10</f>
        <v>#REF!</v>
      </c>
      <c r="T238" s="50" t="e">
        <f>_xlfn.ISOWEEKNUM(RecetteTransport2[[#This Row],[Date Achevement  Mécanique]])</f>
        <v>#REF!</v>
      </c>
      <c r="U238" s="50" t="e">
        <f>YEAR(RecetteTransport2[[#This Row],[Date Achevement  Mécanique]])</f>
        <v>#REF!</v>
      </c>
      <c r="V238" s="2"/>
      <c r="W238" s="50">
        <f>_xlfn.ISOWEEKNUM(RecetteTransport2[[#This Row],[Date de mesure]])</f>
        <v>52</v>
      </c>
      <c r="X238" s="11">
        <f>YEAR(RecetteTransport2[[#This Row],[Date de mesure]])</f>
        <v>1900</v>
      </c>
      <c r="Z238" s="50">
        <f>_xlfn.ISOWEEKNUM(RecetteTransport2[[#This Row],[Date envoie dossier mesure]])</f>
        <v>52</v>
      </c>
      <c r="AA238" s="50">
        <f>YEAR(RecetteTransport2[[#This Row],[Date envoie dossier mesure]])</f>
        <v>1900</v>
      </c>
      <c r="AB238" s="11"/>
      <c r="AC238" s="11"/>
      <c r="AE238" s="6" t="e">
        <f>RecetteTransport2[[#All],[Nb de reprises Optiques]]/#REF!</f>
        <v>#REF!</v>
      </c>
      <c r="AF238" s="6"/>
    </row>
    <row r="239" spans="1:32" x14ac:dyDescent="0.3">
      <c r="A239" t="s">
        <v>12</v>
      </c>
      <c r="B239" t="s">
        <v>15</v>
      </c>
      <c r="D239" t="s">
        <v>536</v>
      </c>
      <c r="G239" s="11"/>
      <c r="H239" s="11"/>
      <c r="I239" s="11"/>
      <c r="J239" s="11">
        <f>RecetteTransport2[[#All],[Fibres TC NOK]]</f>
        <v>0</v>
      </c>
      <c r="K239" s="50">
        <f>RecetteTransport2[[#All],[Valeur Critique]]</f>
        <v>0</v>
      </c>
      <c r="L239" s="50">
        <f t="shared" si="13"/>
        <v>0</v>
      </c>
      <c r="P239" s="11">
        <f xml:space="preserve"> _xlfn.ISOWEEKNUM(RecetteTransport2[[#This Row],[Date validation Optique]])</f>
        <v>52</v>
      </c>
      <c r="Q239" s="11">
        <f>YEAR(RecetteTransport2[[#This Row],[Date validation Optique]])</f>
        <v>1900</v>
      </c>
      <c r="S239" s="47" t="e">
        <f>#REF!+10</f>
        <v>#REF!</v>
      </c>
      <c r="T239" s="50" t="e">
        <f>_xlfn.ISOWEEKNUM(RecetteTransport2[[#This Row],[Date Achevement  Mécanique]])</f>
        <v>#REF!</v>
      </c>
      <c r="U239" s="50" t="e">
        <f>YEAR(RecetteTransport2[[#This Row],[Date Achevement  Mécanique]])</f>
        <v>#REF!</v>
      </c>
      <c r="V239" s="47"/>
      <c r="W239" s="50">
        <f>_xlfn.ISOWEEKNUM(RecetteTransport2[[#This Row],[Date de mesure]])</f>
        <v>52</v>
      </c>
      <c r="X239" s="11">
        <f>YEAR(RecetteTransport2[[#This Row],[Date de mesure]])</f>
        <v>1900</v>
      </c>
      <c r="Y239" s="47"/>
      <c r="Z239" s="50">
        <f>_xlfn.ISOWEEKNUM(RecetteTransport2[[#This Row],[Date envoie dossier mesure]])</f>
        <v>52</v>
      </c>
      <c r="AA239" s="50">
        <f>YEAR(RecetteTransport2[[#This Row],[Date envoie dossier mesure]])</f>
        <v>1900</v>
      </c>
      <c r="AB239" s="11"/>
      <c r="AC239" s="11"/>
      <c r="AE239" s="6" t="e">
        <f>RecetteTransport2[[#All],[Nb de reprises Optiques]]/#REF!</f>
        <v>#REF!</v>
      </c>
      <c r="AF239" s="6"/>
    </row>
    <row r="240" spans="1:32" x14ac:dyDescent="0.3">
      <c r="A240" t="s">
        <v>12</v>
      </c>
      <c r="B240" t="s">
        <v>15</v>
      </c>
      <c r="D240" t="s">
        <v>537</v>
      </c>
      <c r="G240" s="11"/>
      <c r="H240" s="11"/>
      <c r="I240" s="11"/>
      <c r="J240" s="11">
        <f>RecetteTransport2[[#All],[Fibres TC NOK]]</f>
        <v>0</v>
      </c>
      <c r="K240" s="50">
        <f>RecetteTransport2[[#All],[Valeur Critique]]</f>
        <v>0</v>
      </c>
      <c r="L240" s="50">
        <f t="shared" si="13"/>
        <v>0</v>
      </c>
      <c r="P240" s="11">
        <f xml:space="preserve"> _xlfn.ISOWEEKNUM(RecetteTransport2[[#This Row],[Date validation Optique]])</f>
        <v>52</v>
      </c>
      <c r="Q240" s="11">
        <f>YEAR(RecetteTransport2[[#This Row],[Date validation Optique]])</f>
        <v>1900</v>
      </c>
      <c r="S240" s="47" t="e">
        <f>#REF!+10</f>
        <v>#REF!</v>
      </c>
      <c r="T240" s="50" t="e">
        <f>_xlfn.ISOWEEKNUM(RecetteTransport2[[#This Row],[Date Achevement  Mécanique]])</f>
        <v>#REF!</v>
      </c>
      <c r="U240" s="50" t="e">
        <f>YEAR(RecetteTransport2[[#This Row],[Date Achevement  Mécanique]])</f>
        <v>#REF!</v>
      </c>
      <c r="V240" s="47"/>
      <c r="W240" s="50">
        <f>_xlfn.ISOWEEKNUM(RecetteTransport2[[#This Row],[Date de mesure]])</f>
        <v>52</v>
      </c>
      <c r="X240" s="11">
        <f>YEAR(RecetteTransport2[[#This Row],[Date de mesure]])</f>
        <v>1900</v>
      </c>
      <c r="Y240" s="47"/>
      <c r="Z240" s="50">
        <f>_xlfn.ISOWEEKNUM(RecetteTransport2[[#This Row],[Date envoie dossier mesure]])</f>
        <v>52</v>
      </c>
      <c r="AA240" s="50">
        <f>YEAR(RecetteTransport2[[#This Row],[Date envoie dossier mesure]])</f>
        <v>1900</v>
      </c>
      <c r="AB240" s="11"/>
      <c r="AC240" s="11"/>
      <c r="AE240" s="6" t="e">
        <f>RecetteTransport2[[#All],[Nb de reprises Optiques]]/#REF!</f>
        <v>#REF!</v>
      </c>
      <c r="AF240" s="6"/>
    </row>
    <row r="241" spans="1:32" hidden="1" x14ac:dyDescent="0.3">
      <c r="A241" t="s">
        <v>12</v>
      </c>
      <c r="B241" t="s">
        <v>21</v>
      </c>
      <c r="C241" t="s">
        <v>43</v>
      </c>
      <c r="D241" t="s">
        <v>57</v>
      </c>
      <c r="F241" t="s">
        <v>49</v>
      </c>
      <c r="G241" s="11"/>
      <c r="H241" s="11" t="s">
        <v>29</v>
      </c>
      <c r="I241" s="11" t="s">
        <v>29</v>
      </c>
      <c r="J241" s="11">
        <f>RecetteTransport2[[#All],[Fibres TC NOK]]</f>
        <v>0</v>
      </c>
      <c r="K241" s="50">
        <f>RecetteTransport2[[#All],[Valeur Critique]]</f>
        <v>2</v>
      </c>
      <c r="L241" s="50">
        <f>AD:AD</f>
        <v>21</v>
      </c>
      <c r="N241" t="s">
        <v>65</v>
      </c>
      <c r="P241">
        <f xml:space="preserve"> _xlfn.ISOWEEKNUM(RecetteTransport2[[#This Row],[Date validation Optique]])</f>
        <v>52</v>
      </c>
      <c r="Q241">
        <f>YEAR(RecetteTransport2[[#This Row],[Date validation Optique]])</f>
        <v>1900</v>
      </c>
      <c r="T241" s="50">
        <f>_xlfn.ISOWEEKNUM(RecetteTransport2[[#This Row],[Date Achevement  Mécanique]])</f>
        <v>52</v>
      </c>
      <c r="U241" s="50">
        <f>YEAR(RecetteTransport2[[#This Row],[Date Achevement  Mécanique]])</f>
        <v>1900</v>
      </c>
      <c r="V241" s="2"/>
      <c r="W241" s="50">
        <f>_xlfn.ISOWEEKNUM(RecetteTransport2[[#This Row],[Date de mesure]])</f>
        <v>52</v>
      </c>
      <c r="X241" s="11">
        <f>YEAR(RecetteTransport2[[#This Row],[Date de mesure]])</f>
        <v>1900</v>
      </c>
      <c r="Z241" s="50">
        <f>_xlfn.ISOWEEKNUM(RecetteTransport2[[#This Row],[Date envoie dossier mesure]])</f>
        <v>52</v>
      </c>
      <c r="AA241" s="50">
        <f>YEAR(RecetteTransport2[[#This Row],[Date envoie dossier mesure]])</f>
        <v>1900</v>
      </c>
      <c r="AB241" s="11"/>
      <c r="AC241" s="11">
        <v>2</v>
      </c>
      <c r="AD241" s="50">
        <v>21</v>
      </c>
      <c r="AE241" s="6" t="e">
        <f>RecetteTransport2[[#All],[Nb de reprises Optiques]]/#REF!</f>
        <v>#REF!</v>
      </c>
      <c r="AF241" s="2">
        <v>44215</v>
      </c>
    </row>
    <row r="242" spans="1:32" hidden="1" x14ac:dyDescent="0.3">
      <c r="A242" t="s">
        <v>12</v>
      </c>
      <c r="B242" t="s">
        <v>21</v>
      </c>
      <c r="C242" t="s">
        <v>43</v>
      </c>
      <c r="D242" t="s">
        <v>93</v>
      </c>
      <c r="F242" t="s">
        <v>49</v>
      </c>
      <c r="G242" s="11"/>
      <c r="H242" s="11" t="s">
        <v>29</v>
      </c>
      <c r="I242" s="11" t="s">
        <v>29</v>
      </c>
      <c r="J242" s="11">
        <f>RecetteTransport2[[#All],[Fibres TC NOK]]</f>
        <v>0</v>
      </c>
      <c r="K242" s="50">
        <f>RecetteTransport2[[#All],[Valeur Critique]]</f>
        <v>0</v>
      </c>
      <c r="L242" s="50">
        <f>AD:AD</f>
        <v>15</v>
      </c>
      <c r="N242" t="s">
        <v>65</v>
      </c>
      <c r="P242">
        <f xml:space="preserve"> _xlfn.ISOWEEKNUM(RecetteTransport2[[#This Row],[Date validation Optique]])</f>
        <v>52</v>
      </c>
      <c r="Q242">
        <f>YEAR(RecetteTransport2[[#This Row],[Date validation Optique]])</f>
        <v>1900</v>
      </c>
      <c r="T242" s="50">
        <f>_xlfn.ISOWEEKNUM(RecetteTransport2[[#This Row],[Date Achevement  Mécanique]])</f>
        <v>52</v>
      </c>
      <c r="U242" s="50">
        <f>YEAR(RecetteTransport2[[#This Row],[Date Achevement  Mécanique]])</f>
        <v>1900</v>
      </c>
      <c r="V242" s="2"/>
      <c r="W242" s="50">
        <f>_xlfn.ISOWEEKNUM(RecetteTransport2[[#This Row],[Date de mesure]])</f>
        <v>52</v>
      </c>
      <c r="X242" s="11">
        <f>YEAR(RecetteTransport2[[#This Row],[Date de mesure]])</f>
        <v>1900</v>
      </c>
      <c r="Y242" s="2">
        <v>44035</v>
      </c>
      <c r="Z242" s="50">
        <f>_xlfn.ISOWEEKNUM(RecetteTransport2[[#This Row],[Date envoie dossier mesure]])</f>
        <v>30</v>
      </c>
      <c r="AA242" s="50">
        <f>YEAR(RecetteTransport2[[#This Row],[Date envoie dossier mesure]])</f>
        <v>2020</v>
      </c>
      <c r="AB242" s="11">
        <v>0</v>
      </c>
      <c r="AC242" s="11">
        <v>0</v>
      </c>
      <c r="AD242" s="50">
        <v>15</v>
      </c>
      <c r="AE242" s="6" t="e">
        <f>RecetteTransport2[[#All],[Nb de reprises Optiques]]/#REF!</f>
        <v>#REF!</v>
      </c>
      <c r="AF242" s="2">
        <v>44215</v>
      </c>
    </row>
    <row r="243" spans="1:32" hidden="1" x14ac:dyDescent="0.3">
      <c r="A243" t="s">
        <v>12</v>
      </c>
      <c r="B243" t="s">
        <v>21</v>
      </c>
      <c r="C243" t="s">
        <v>43</v>
      </c>
      <c r="D243" t="s">
        <v>33</v>
      </c>
      <c r="F243" t="s">
        <v>49</v>
      </c>
      <c r="G243" s="11"/>
      <c r="H243" s="11" t="s">
        <v>29</v>
      </c>
      <c r="I243" s="11" t="s">
        <v>29</v>
      </c>
      <c r="J243" s="11">
        <f>RecetteTransport2[[#All],[Fibres TC NOK]]</f>
        <v>0</v>
      </c>
      <c r="K243" s="50">
        <f>RecetteTransport2[[#All],[Valeur Critique]]</f>
        <v>4</v>
      </c>
      <c r="L243" s="50">
        <f>AD:AD</f>
        <v>37</v>
      </c>
      <c r="N243" t="s">
        <v>65</v>
      </c>
      <c r="P243">
        <f xml:space="preserve"> _xlfn.ISOWEEKNUM(RecetteTransport2[[#This Row],[Date validation Optique]])</f>
        <v>52</v>
      </c>
      <c r="Q243">
        <f>YEAR(RecetteTransport2[[#This Row],[Date validation Optique]])</f>
        <v>1900</v>
      </c>
      <c r="T243" s="50">
        <f>_xlfn.ISOWEEKNUM(RecetteTransport2[[#This Row],[Date Achevement  Mécanique]])</f>
        <v>52</v>
      </c>
      <c r="U243" s="50">
        <f>YEAR(RecetteTransport2[[#This Row],[Date Achevement  Mécanique]])</f>
        <v>1900</v>
      </c>
      <c r="V243" s="2"/>
      <c r="W243" s="50">
        <f>_xlfn.ISOWEEKNUM(RecetteTransport2[[#This Row],[Date de mesure]])</f>
        <v>52</v>
      </c>
      <c r="X243" s="11">
        <f>YEAR(RecetteTransport2[[#This Row],[Date de mesure]])</f>
        <v>1900</v>
      </c>
      <c r="Y243" s="2">
        <v>44036</v>
      </c>
      <c r="Z243" s="50">
        <f>_xlfn.ISOWEEKNUM(RecetteTransport2[[#This Row],[Date envoie dossier mesure]])</f>
        <v>30</v>
      </c>
      <c r="AA243" s="50">
        <f>YEAR(RecetteTransport2[[#This Row],[Date envoie dossier mesure]])</f>
        <v>2020</v>
      </c>
      <c r="AB243" s="11">
        <v>0</v>
      </c>
      <c r="AC243" s="11">
        <v>4</v>
      </c>
      <c r="AD243" s="50">
        <v>37</v>
      </c>
      <c r="AE243" s="6" t="e">
        <f>RecetteTransport2[[#All],[Nb de reprises Optiques]]/#REF!</f>
        <v>#REF!</v>
      </c>
      <c r="AF243" s="2">
        <v>44215</v>
      </c>
    </row>
    <row r="244" spans="1:32" hidden="1" x14ac:dyDescent="0.3">
      <c r="A244" t="s">
        <v>12</v>
      </c>
      <c r="B244" t="s">
        <v>21</v>
      </c>
      <c r="C244" t="s">
        <v>43</v>
      </c>
      <c r="D244" t="s">
        <v>60</v>
      </c>
      <c r="F244" t="s">
        <v>49</v>
      </c>
      <c r="G244" s="11"/>
      <c r="H244" s="11" t="s">
        <v>29</v>
      </c>
      <c r="I244" s="11" t="s">
        <v>29</v>
      </c>
      <c r="J244" s="11">
        <f>RecetteTransport2[[#All],[Fibres TC NOK]]</f>
        <v>0</v>
      </c>
      <c r="K244" s="50">
        <f>RecetteTransport2[[#All],[Valeur Critique]]</f>
        <v>29</v>
      </c>
      <c r="L244" s="50">
        <f>AD:AD</f>
        <v>114</v>
      </c>
      <c r="N244" t="s">
        <v>65</v>
      </c>
      <c r="P244">
        <f xml:space="preserve"> _xlfn.ISOWEEKNUM(RecetteTransport2[[#This Row],[Date validation Optique]])</f>
        <v>52</v>
      </c>
      <c r="Q244">
        <f>YEAR(RecetteTransport2[[#This Row],[Date validation Optique]])</f>
        <v>1900</v>
      </c>
      <c r="T244" s="50">
        <f>_xlfn.ISOWEEKNUM(RecetteTransport2[[#This Row],[Date Achevement  Mécanique]])</f>
        <v>52</v>
      </c>
      <c r="U244" s="50">
        <f>YEAR(RecetteTransport2[[#This Row],[Date Achevement  Mécanique]])</f>
        <v>1900</v>
      </c>
      <c r="V244" s="2"/>
      <c r="W244" s="50">
        <f>_xlfn.ISOWEEKNUM(RecetteTransport2[[#This Row],[Date de mesure]])</f>
        <v>52</v>
      </c>
      <c r="X244" s="11">
        <f>YEAR(RecetteTransport2[[#This Row],[Date de mesure]])</f>
        <v>1900</v>
      </c>
      <c r="Y244" s="2">
        <v>44036</v>
      </c>
      <c r="Z244" s="50">
        <f>_xlfn.ISOWEEKNUM(RecetteTransport2[[#This Row],[Date envoie dossier mesure]])</f>
        <v>30</v>
      </c>
      <c r="AA244" s="50">
        <f>YEAR(RecetteTransport2[[#This Row],[Date envoie dossier mesure]])</f>
        <v>2020</v>
      </c>
      <c r="AB244" s="11">
        <v>0</v>
      </c>
      <c r="AC244" s="11">
        <v>29</v>
      </c>
      <c r="AD244" s="50">
        <v>114</v>
      </c>
      <c r="AE244" s="6" t="e">
        <f>RecetteTransport2[[#All],[Nb de reprises Optiques]]/#REF!</f>
        <v>#REF!</v>
      </c>
      <c r="AF244" s="2">
        <v>44215</v>
      </c>
    </row>
    <row r="245" spans="1:32" hidden="1" x14ac:dyDescent="0.3">
      <c r="A245" t="s">
        <v>12</v>
      </c>
      <c r="B245" t="s">
        <v>63</v>
      </c>
      <c r="C245" t="s">
        <v>166</v>
      </c>
      <c r="D245" t="s">
        <v>194</v>
      </c>
      <c r="G245" s="11"/>
      <c r="H245" s="11" t="s">
        <v>29</v>
      </c>
      <c r="I245" s="11" t="s">
        <v>29</v>
      </c>
      <c r="J245" s="11">
        <f>RecetteTransport2[[#All],[Fibres TC NOK]]</f>
        <v>4</v>
      </c>
      <c r="K245" s="50">
        <f>RecetteTransport2[[#All],[Valeur Critique]]</f>
        <v>0</v>
      </c>
      <c r="L245" s="50">
        <f>AD:AD</f>
        <v>16</v>
      </c>
      <c r="N245" t="s">
        <v>65</v>
      </c>
      <c r="P245">
        <f xml:space="preserve"> _xlfn.ISOWEEKNUM(RecetteTransport2[[#This Row],[Date validation Optique]])</f>
        <v>52</v>
      </c>
      <c r="Q245">
        <f>YEAR(RecetteTransport2[[#This Row],[Date validation Optique]])</f>
        <v>1900</v>
      </c>
      <c r="T245" s="50">
        <f>_xlfn.ISOWEEKNUM(RecetteTransport2[[#This Row],[Date Achevement  Mécanique]])</f>
        <v>52</v>
      </c>
      <c r="U245" s="50">
        <f>YEAR(RecetteTransport2[[#This Row],[Date Achevement  Mécanique]])</f>
        <v>1900</v>
      </c>
      <c r="V245" s="2">
        <v>44265</v>
      </c>
      <c r="W245" s="50">
        <f>_xlfn.ISOWEEKNUM(RecetteTransport2[[#This Row],[Date de mesure]])</f>
        <v>10</v>
      </c>
      <c r="X245" s="11">
        <f>YEAR(RecetteTransport2[[#This Row],[Date de mesure]])</f>
        <v>2021</v>
      </c>
      <c r="Y245" s="2">
        <v>44270</v>
      </c>
      <c r="Z245" s="50">
        <f>_xlfn.ISOWEEKNUM(RecetteTransport2[[#This Row],[Date envoie dossier mesure]])</f>
        <v>11</v>
      </c>
      <c r="AA245" s="50">
        <f>YEAR(RecetteTransport2[[#This Row],[Date envoie dossier mesure]])</f>
        <v>2021</v>
      </c>
      <c r="AB245" s="11">
        <v>4</v>
      </c>
      <c r="AC245" s="11">
        <v>0</v>
      </c>
      <c r="AD245" s="50">
        <v>16</v>
      </c>
      <c r="AE245" s="6" t="e">
        <f>RecetteTransport2[[#All],[Nb de reprises Optiques]]/#REF!</f>
        <v>#REF!</v>
      </c>
      <c r="AF245" s="6"/>
    </row>
    <row r="246" spans="1:32" hidden="1" x14ac:dyDescent="0.3">
      <c r="A246" t="s">
        <v>12</v>
      </c>
      <c r="B246" t="s">
        <v>63</v>
      </c>
      <c r="C246" t="s">
        <v>166</v>
      </c>
      <c r="D246" t="s">
        <v>167</v>
      </c>
      <c r="E246">
        <v>4924420</v>
      </c>
      <c r="G246" s="11"/>
      <c r="H246" s="11" t="s">
        <v>29</v>
      </c>
      <c r="I246" s="11" t="s">
        <v>29</v>
      </c>
      <c r="J246" s="11">
        <f>RecetteTransport2[[#All],[Fibres TC NOK]]</f>
        <v>0</v>
      </c>
      <c r="K246" s="50">
        <f>RecetteTransport2[[#All],[Valeur Critique]]</f>
        <v>1</v>
      </c>
      <c r="L246" s="50">
        <f>AD:AD</f>
        <v>9</v>
      </c>
      <c r="N246" t="s">
        <v>65</v>
      </c>
      <c r="P246">
        <f xml:space="preserve"> _xlfn.ISOWEEKNUM(RecetteTransport2[[#This Row],[Date validation Optique]])</f>
        <v>52</v>
      </c>
      <c r="Q246">
        <f>YEAR(RecetteTransport2[[#This Row],[Date validation Optique]])</f>
        <v>1900</v>
      </c>
      <c r="T246" s="50">
        <f>_xlfn.ISOWEEKNUM(RecetteTransport2[[#This Row],[Date Achevement  Mécanique]])</f>
        <v>52</v>
      </c>
      <c r="U246" s="50">
        <f>YEAR(RecetteTransport2[[#This Row],[Date Achevement  Mécanique]])</f>
        <v>1900</v>
      </c>
      <c r="V246" s="2"/>
      <c r="W246" s="50">
        <f>_xlfn.ISOWEEKNUM(RecetteTransport2[[#This Row],[Date de mesure]])</f>
        <v>52</v>
      </c>
      <c r="X246" s="11">
        <f>YEAR(RecetteTransport2[[#This Row],[Date de mesure]])</f>
        <v>1900</v>
      </c>
      <c r="Y246" s="2">
        <v>44223</v>
      </c>
      <c r="Z246" s="50">
        <f>_xlfn.ISOWEEKNUM(RecetteTransport2[[#This Row],[Date envoie dossier mesure]])</f>
        <v>4</v>
      </c>
      <c r="AA246" s="50">
        <f>YEAR(RecetteTransport2[[#This Row],[Date envoie dossier mesure]])</f>
        <v>2021</v>
      </c>
      <c r="AB246" s="11">
        <v>0</v>
      </c>
      <c r="AC246" s="11">
        <v>1</v>
      </c>
      <c r="AD246" s="50">
        <v>9</v>
      </c>
      <c r="AE246" s="6" t="e">
        <f>RecetteTransport2[[#All],[Nb de reprises Optiques]]/#REF!</f>
        <v>#REF!</v>
      </c>
      <c r="AF246" s="6"/>
    </row>
    <row r="247" spans="1:32" hidden="1" x14ac:dyDescent="0.3">
      <c r="A247" t="s">
        <v>12</v>
      </c>
      <c r="B247" t="s">
        <v>21</v>
      </c>
      <c r="C247" t="s">
        <v>43</v>
      </c>
      <c r="D247" t="s">
        <v>171</v>
      </c>
      <c r="F247" t="s">
        <v>49</v>
      </c>
      <c r="G247" s="11"/>
      <c r="H247" s="11" t="s">
        <v>29</v>
      </c>
      <c r="I247" s="11" t="s">
        <v>29</v>
      </c>
      <c r="J247" s="11">
        <f>RecetteTransport2[[#All],[Fibres TC NOK]]</f>
        <v>0</v>
      </c>
      <c r="K247" s="50">
        <f>RecetteTransport2[[#All],[Valeur Critique]]</f>
        <v>0</v>
      </c>
      <c r="L247" s="50">
        <f>AD:AD</f>
        <v>56</v>
      </c>
      <c r="N247" t="s">
        <v>65</v>
      </c>
      <c r="P247">
        <f xml:space="preserve"> _xlfn.ISOWEEKNUM(RecetteTransport2[[#This Row],[Date validation Optique]])</f>
        <v>52</v>
      </c>
      <c r="Q247">
        <f>YEAR(RecetteTransport2[[#This Row],[Date validation Optique]])</f>
        <v>1900</v>
      </c>
      <c r="T247" s="50">
        <f>_xlfn.ISOWEEKNUM(RecetteTransport2[[#This Row],[Date Achevement  Mécanique]])</f>
        <v>52</v>
      </c>
      <c r="U247" s="50">
        <f>YEAR(RecetteTransport2[[#This Row],[Date Achevement  Mécanique]])</f>
        <v>1900</v>
      </c>
      <c r="V247" s="2"/>
      <c r="W247" s="50">
        <f>_xlfn.ISOWEEKNUM(RecetteTransport2[[#This Row],[Date de mesure]])</f>
        <v>52</v>
      </c>
      <c r="X247" s="11">
        <f>YEAR(RecetteTransport2[[#This Row],[Date de mesure]])</f>
        <v>1900</v>
      </c>
      <c r="Y247" s="2">
        <v>44167</v>
      </c>
      <c r="Z247" s="50">
        <f>_xlfn.ISOWEEKNUM(RecetteTransport2[[#This Row],[Date envoie dossier mesure]])</f>
        <v>49</v>
      </c>
      <c r="AA247" s="50">
        <f>YEAR(RecetteTransport2[[#This Row],[Date envoie dossier mesure]])</f>
        <v>2020</v>
      </c>
      <c r="AB247" s="11">
        <v>0</v>
      </c>
      <c r="AC247" s="11">
        <v>0</v>
      </c>
      <c r="AD247" s="50">
        <v>56</v>
      </c>
      <c r="AE247" s="6" t="e">
        <f>RecetteTransport2[[#All],[Nb de reprises Optiques]]/#REF!</f>
        <v>#REF!</v>
      </c>
      <c r="AF247" s="2">
        <v>44215</v>
      </c>
    </row>
    <row r="248" spans="1:32" hidden="1" x14ac:dyDescent="0.3">
      <c r="A248" t="s">
        <v>12</v>
      </c>
      <c r="B248" t="s">
        <v>21</v>
      </c>
      <c r="C248" t="s">
        <v>43</v>
      </c>
      <c r="D248" t="s">
        <v>172</v>
      </c>
      <c r="F248" t="s">
        <v>49</v>
      </c>
      <c r="G248" s="11"/>
      <c r="H248" s="11" t="s">
        <v>29</v>
      </c>
      <c r="I248" s="11" t="s">
        <v>29</v>
      </c>
      <c r="J248" s="11">
        <f>RecetteTransport2[[#All],[Fibres TC NOK]]</f>
        <v>0</v>
      </c>
      <c r="K248" s="50">
        <f>RecetteTransport2[[#All],[Valeur Critique]]</f>
        <v>0</v>
      </c>
      <c r="L248" s="50">
        <f>AD:AD</f>
        <v>26</v>
      </c>
      <c r="N248" t="s">
        <v>65</v>
      </c>
      <c r="P248">
        <f xml:space="preserve"> _xlfn.ISOWEEKNUM(RecetteTransport2[[#This Row],[Date validation Optique]])</f>
        <v>52</v>
      </c>
      <c r="Q248">
        <f>YEAR(RecetteTransport2[[#This Row],[Date validation Optique]])</f>
        <v>1900</v>
      </c>
      <c r="T248" s="50">
        <f>_xlfn.ISOWEEKNUM(RecetteTransport2[[#This Row],[Date Achevement  Mécanique]])</f>
        <v>52</v>
      </c>
      <c r="U248" s="50">
        <f>YEAR(RecetteTransport2[[#This Row],[Date Achevement  Mécanique]])</f>
        <v>1900</v>
      </c>
      <c r="V248" s="2"/>
      <c r="W248" s="50">
        <f>_xlfn.ISOWEEKNUM(RecetteTransport2[[#This Row],[Date de mesure]])</f>
        <v>52</v>
      </c>
      <c r="X248" s="11">
        <f>YEAR(RecetteTransport2[[#This Row],[Date de mesure]])</f>
        <v>1900</v>
      </c>
      <c r="Y248" s="2">
        <v>44167</v>
      </c>
      <c r="Z248" s="50">
        <f>_xlfn.ISOWEEKNUM(RecetteTransport2[[#This Row],[Date envoie dossier mesure]])</f>
        <v>49</v>
      </c>
      <c r="AA248" s="50">
        <f>YEAR(RecetteTransport2[[#This Row],[Date envoie dossier mesure]])</f>
        <v>2020</v>
      </c>
      <c r="AB248" s="11">
        <v>0</v>
      </c>
      <c r="AC248" s="11">
        <v>0</v>
      </c>
      <c r="AD248" s="50">
        <v>26</v>
      </c>
      <c r="AE248" s="6" t="e">
        <f>RecetteTransport2[[#All],[Nb de reprises Optiques]]/#REF!</f>
        <v>#REF!</v>
      </c>
      <c r="AF248" s="2">
        <v>44215</v>
      </c>
    </row>
    <row r="249" spans="1:32" x14ac:dyDescent="0.3">
      <c r="A249" t="s">
        <v>12</v>
      </c>
      <c r="D249" t="s">
        <v>538</v>
      </c>
      <c r="G249" s="11"/>
      <c r="H249" s="11"/>
      <c r="I249" s="11"/>
      <c r="J249" s="11">
        <f>RecetteTransport2[[#All],[Fibres TC NOK]]</f>
        <v>0</v>
      </c>
      <c r="K249" s="50">
        <f>RecetteTransport2[[#All],[Valeur Critique]]</f>
        <v>0</v>
      </c>
      <c r="L249" s="50">
        <f>AD:AD</f>
        <v>0</v>
      </c>
      <c r="P249" s="11">
        <f xml:space="preserve"> _xlfn.ISOWEEKNUM(RecetteTransport2[[#This Row],[Date validation Optique]])</f>
        <v>52</v>
      </c>
      <c r="Q249" s="11">
        <f>YEAR(RecetteTransport2[[#This Row],[Date validation Optique]])</f>
        <v>1900</v>
      </c>
      <c r="S249" s="47" t="e">
        <f>#REF!+10</f>
        <v>#REF!</v>
      </c>
      <c r="T249" s="50" t="e">
        <f>_xlfn.ISOWEEKNUM(RecetteTransport2[[#This Row],[Date Achevement  Mécanique]])</f>
        <v>#REF!</v>
      </c>
      <c r="U249" s="50" t="e">
        <f>YEAR(RecetteTransport2[[#This Row],[Date Achevement  Mécanique]])</f>
        <v>#REF!</v>
      </c>
      <c r="V249" s="47"/>
      <c r="W249" s="50">
        <f>_xlfn.ISOWEEKNUM(RecetteTransport2[[#This Row],[Date de mesure]])</f>
        <v>52</v>
      </c>
      <c r="X249" s="11">
        <f>YEAR(RecetteTransport2[[#This Row],[Date de mesure]])</f>
        <v>1900</v>
      </c>
      <c r="Y249" s="47"/>
      <c r="Z249" s="50">
        <f>_xlfn.ISOWEEKNUM(RecetteTransport2[[#This Row],[Date envoie dossier mesure]])</f>
        <v>52</v>
      </c>
      <c r="AA249" s="50">
        <f>YEAR(RecetteTransport2[[#This Row],[Date envoie dossier mesure]])</f>
        <v>1900</v>
      </c>
      <c r="AB249" s="11"/>
      <c r="AC249" s="11"/>
      <c r="AE249" s="6" t="e">
        <f>RecetteTransport2[[#All],[Nb de reprises Optiques]]/#REF!</f>
        <v>#REF!</v>
      </c>
      <c r="AF249" s="6"/>
    </row>
    <row r="250" spans="1:32" hidden="1" x14ac:dyDescent="0.3">
      <c r="A250" t="s">
        <v>12</v>
      </c>
      <c r="B250" t="s">
        <v>21</v>
      </c>
      <c r="C250" t="s">
        <v>43</v>
      </c>
      <c r="D250" t="s">
        <v>170</v>
      </c>
      <c r="F250" t="s">
        <v>49</v>
      </c>
      <c r="G250" s="11"/>
      <c r="H250" s="11" t="s">
        <v>29</v>
      </c>
      <c r="I250" s="11" t="s">
        <v>29</v>
      </c>
      <c r="J250" s="11">
        <f>RecetteTransport2[[#All],[Fibres TC NOK]]</f>
        <v>0</v>
      </c>
      <c r="K250" s="50">
        <f>RecetteTransport2[[#All],[Valeur Critique]]</f>
        <v>0</v>
      </c>
      <c r="L250" s="50">
        <f>AD:AD</f>
        <v>98</v>
      </c>
      <c r="N250" t="s">
        <v>65</v>
      </c>
      <c r="P250">
        <f xml:space="preserve"> _xlfn.ISOWEEKNUM(RecetteTransport2[[#This Row],[Date validation Optique]])</f>
        <v>52</v>
      </c>
      <c r="Q250">
        <f>YEAR(RecetteTransport2[[#This Row],[Date validation Optique]])</f>
        <v>1900</v>
      </c>
      <c r="T250" s="50">
        <f>_xlfn.ISOWEEKNUM(RecetteTransport2[[#This Row],[Date Achevement  Mécanique]])</f>
        <v>52</v>
      </c>
      <c r="U250" s="50">
        <f>YEAR(RecetteTransport2[[#This Row],[Date Achevement  Mécanique]])</f>
        <v>1900</v>
      </c>
      <c r="V250" s="2"/>
      <c r="W250" s="50">
        <f>_xlfn.ISOWEEKNUM(RecetteTransport2[[#This Row],[Date de mesure]])</f>
        <v>52</v>
      </c>
      <c r="X250" s="11">
        <f>YEAR(RecetteTransport2[[#This Row],[Date de mesure]])</f>
        <v>1900</v>
      </c>
      <c r="Y250" s="2">
        <v>44167</v>
      </c>
      <c r="Z250" s="50">
        <f>_xlfn.ISOWEEKNUM(RecetteTransport2[[#This Row],[Date envoie dossier mesure]])</f>
        <v>49</v>
      </c>
      <c r="AA250" s="50">
        <f>YEAR(RecetteTransport2[[#This Row],[Date envoie dossier mesure]])</f>
        <v>2020</v>
      </c>
      <c r="AB250" s="11">
        <v>0</v>
      </c>
      <c r="AC250" s="11">
        <v>0</v>
      </c>
      <c r="AD250" s="50">
        <v>98</v>
      </c>
      <c r="AE250" s="6" t="e">
        <f>RecetteTransport2[[#All],[Nb de reprises Optiques]]/#REF!</f>
        <v>#REF!</v>
      </c>
      <c r="AF250" s="2">
        <v>44215</v>
      </c>
    </row>
    <row r="251" spans="1:32" hidden="1" x14ac:dyDescent="0.3">
      <c r="A251" t="s">
        <v>12</v>
      </c>
      <c r="B251" t="s">
        <v>21</v>
      </c>
      <c r="C251" t="s">
        <v>43</v>
      </c>
      <c r="D251" t="s">
        <v>128</v>
      </c>
      <c r="F251" t="s">
        <v>49</v>
      </c>
      <c r="G251" s="11"/>
      <c r="H251" s="11" t="s">
        <v>29</v>
      </c>
      <c r="I251" s="11" t="s">
        <v>29</v>
      </c>
      <c r="J251" s="11">
        <f>RecetteTransport2[[#All],[Fibres TC NOK]]</f>
        <v>0</v>
      </c>
      <c r="K251" s="50">
        <f>RecetteTransport2[[#All],[Valeur Critique]]</f>
        <v>0</v>
      </c>
      <c r="L251" s="50">
        <f>AD:AD</f>
        <v>90</v>
      </c>
      <c r="N251" t="s">
        <v>65</v>
      </c>
      <c r="P251">
        <f xml:space="preserve"> _xlfn.ISOWEEKNUM(RecetteTransport2[[#This Row],[Date validation Optique]])</f>
        <v>52</v>
      </c>
      <c r="Q251">
        <f>YEAR(RecetteTransport2[[#This Row],[Date validation Optique]])</f>
        <v>1900</v>
      </c>
      <c r="T251" s="50">
        <f>_xlfn.ISOWEEKNUM(RecetteTransport2[[#This Row],[Date Achevement  Mécanique]])</f>
        <v>52</v>
      </c>
      <c r="U251" s="50">
        <f>YEAR(RecetteTransport2[[#This Row],[Date Achevement  Mécanique]])</f>
        <v>1900</v>
      </c>
      <c r="V251" s="2"/>
      <c r="W251" s="50">
        <f>_xlfn.ISOWEEKNUM(RecetteTransport2[[#This Row],[Date de mesure]])</f>
        <v>52</v>
      </c>
      <c r="X251" s="11">
        <f>YEAR(RecetteTransport2[[#This Row],[Date de mesure]])</f>
        <v>1900</v>
      </c>
      <c r="Y251" s="2">
        <v>44167</v>
      </c>
      <c r="Z251" s="50">
        <f>_xlfn.ISOWEEKNUM(RecetteTransport2[[#This Row],[Date envoie dossier mesure]])</f>
        <v>49</v>
      </c>
      <c r="AA251" s="50">
        <f>YEAR(RecetteTransport2[[#This Row],[Date envoie dossier mesure]])</f>
        <v>2020</v>
      </c>
      <c r="AB251" s="11">
        <v>0</v>
      </c>
      <c r="AC251" s="11">
        <v>0</v>
      </c>
      <c r="AD251" s="50">
        <v>90</v>
      </c>
      <c r="AE251" s="6" t="e">
        <f>RecetteTransport2[[#All],[Nb de reprises Optiques]]/#REF!</f>
        <v>#REF!</v>
      </c>
      <c r="AF251" s="2">
        <v>44215</v>
      </c>
    </row>
    <row r="252" spans="1:32" x14ac:dyDescent="0.3">
      <c r="A252" t="s">
        <v>12</v>
      </c>
      <c r="D252" t="s">
        <v>539</v>
      </c>
      <c r="G252" s="11"/>
      <c r="H252" s="11"/>
      <c r="I252" s="11"/>
      <c r="J252" s="11">
        <f>RecetteTransport2[[#All],[Fibres TC NOK]]</f>
        <v>0</v>
      </c>
      <c r="K252" s="50">
        <f>RecetteTransport2[[#All],[Valeur Critique]]</f>
        <v>0</v>
      </c>
      <c r="L252" s="50">
        <f>AD:AD</f>
        <v>0</v>
      </c>
      <c r="P252" s="11">
        <f xml:space="preserve"> _xlfn.ISOWEEKNUM(RecetteTransport2[[#This Row],[Date validation Optique]])</f>
        <v>52</v>
      </c>
      <c r="Q252" s="11">
        <f>YEAR(RecetteTransport2[[#This Row],[Date validation Optique]])</f>
        <v>1900</v>
      </c>
      <c r="S252" s="47" t="e">
        <f>#REF!+10</f>
        <v>#REF!</v>
      </c>
      <c r="T252" s="50" t="e">
        <f>_xlfn.ISOWEEKNUM(RecetteTransport2[[#This Row],[Date Achevement  Mécanique]])</f>
        <v>#REF!</v>
      </c>
      <c r="U252" s="50" t="e">
        <f>YEAR(RecetteTransport2[[#This Row],[Date Achevement  Mécanique]])</f>
        <v>#REF!</v>
      </c>
      <c r="V252" s="47"/>
      <c r="W252" s="50">
        <f>_xlfn.ISOWEEKNUM(RecetteTransport2[[#This Row],[Date de mesure]])</f>
        <v>52</v>
      </c>
      <c r="X252" s="11">
        <f>YEAR(RecetteTransport2[[#This Row],[Date de mesure]])</f>
        <v>1900</v>
      </c>
      <c r="Y252" s="47"/>
      <c r="Z252" s="50">
        <f>_xlfn.ISOWEEKNUM(RecetteTransport2[[#This Row],[Date envoie dossier mesure]])</f>
        <v>52</v>
      </c>
      <c r="AA252" s="50">
        <f>YEAR(RecetteTransport2[[#This Row],[Date envoie dossier mesure]])</f>
        <v>1900</v>
      </c>
      <c r="AB252" s="11"/>
      <c r="AC252" s="11"/>
      <c r="AE252" s="6" t="e">
        <f>RecetteTransport2[[#All],[Nb de reprises Optiques]]/#REF!</f>
        <v>#REF!</v>
      </c>
      <c r="AF252" s="6"/>
    </row>
    <row r="253" spans="1:32" hidden="1" x14ac:dyDescent="0.3">
      <c r="A253" t="s">
        <v>12</v>
      </c>
      <c r="B253" t="s">
        <v>21</v>
      </c>
      <c r="C253" t="s">
        <v>43</v>
      </c>
      <c r="D253" t="s">
        <v>173</v>
      </c>
      <c r="F253" t="s">
        <v>49</v>
      </c>
      <c r="G253" s="11"/>
      <c r="H253" s="11" t="s">
        <v>29</v>
      </c>
      <c r="I253" s="11" t="s">
        <v>29</v>
      </c>
      <c r="J253" s="11">
        <f>RecetteTransport2[[#All],[Fibres TC NOK]]</f>
        <v>0</v>
      </c>
      <c r="K253" s="50">
        <f>RecetteTransport2[[#All],[Valeur Critique]]</f>
        <v>0</v>
      </c>
      <c r="L253" s="50">
        <f>AD:AD</f>
        <v>34</v>
      </c>
      <c r="N253" t="s">
        <v>65</v>
      </c>
      <c r="P253">
        <f xml:space="preserve"> _xlfn.ISOWEEKNUM(RecetteTransport2[[#This Row],[Date validation Optique]])</f>
        <v>52</v>
      </c>
      <c r="Q253">
        <f>YEAR(RecetteTransport2[[#This Row],[Date validation Optique]])</f>
        <v>1900</v>
      </c>
      <c r="T253" s="50">
        <f>_xlfn.ISOWEEKNUM(RecetteTransport2[[#This Row],[Date Achevement  Mécanique]])</f>
        <v>52</v>
      </c>
      <c r="U253" s="50">
        <f>YEAR(RecetteTransport2[[#This Row],[Date Achevement  Mécanique]])</f>
        <v>1900</v>
      </c>
      <c r="V253" s="2"/>
      <c r="W253" s="50">
        <f>_xlfn.ISOWEEKNUM(RecetteTransport2[[#This Row],[Date de mesure]])</f>
        <v>52</v>
      </c>
      <c r="X253" s="11">
        <f>YEAR(RecetteTransport2[[#This Row],[Date de mesure]])</f>
        <v>1900</v>
      </c>
      <c r="Y253" s="2">
        <v>44167</v>
      </c>
      <c r="Z253" s="50">
        <f>_xlfn.ISOWEEKNUM(RecetteTransport2[[#This Row],[Date envoie dossier mesure]])</f>
        <v>49</v>
      </c>
      <c r="AA253" s="50">
        <f>YEAR(RecetteTransport2[[#This Row],[Date envoie dossier mesure]])</f>
        <v>2020</v>
      </c>
      <c r="AB253" s="11">
        <v>0</v>
      </c>
      <c r="AC253" s="11">
        <v>0</v>
      </c>
      <c r="AD253" s="50">
        <v>34</v>
      </c>
      <c r="AE253" s="6" t="e">
        <f>RecetteTransport2[[#All],[Nb de reprises Optiques]]/#REF!</f>
        <v>#REF!</v>
      </c>
      <c r="AF253" s="2">
        <v>44215</v>
      </c>
    </row>
    <row r="254" spans="1:32" x14ac:dyDescent="0.3">
      <c r="A254" t="s">
        <v>12</v>
      </c>
      <c r="D254" t="s">
        <v>540</v>
      </c>
      <c r="G254" s="11"/>
      <c r="H254" s="11"/>
      <c r="I254" s="11"/>
      <c r="J254" s="11">
        <f>RecetteTransport2[[#All],[Fibres TC NOK]]</f>
        <v>0</v>
      </c>
      <c r="K254" s="50">
        <f>RecetteTransport2[[#All],[Valeur Critique]]</f>
        <v>0</v>
      </c>
      <c r="L254" s="50">
        <f t="shared" ref="L254:L257" si="14">AD:AD</f>
        <v>0</v>
      </c>
      <c r="P254" s="11">
        <f xml:space="preserve"> _xlfn.ISOWEEKNUM(RecetteTransport2[[#This Row],[Date validation Optique]])</f>
        <v>52</v>
      </c>
      <c r="Q254" s="11">
        <f>YEAR(RecetteTransport2[[#This Row],[Date validation Optique]])</f>
        <v>1900</v>
      </c>
      <c r="S254" s="47" t="e">
        <f>#REF!+10</f>
        <v>#REF!</v>
      </c>
      <c r="T254" s="50" t="e">
        <f>_xlfn.ISOWEEKNUM(RecetteTransport2[[#This Row],[Date Achevement  Mécanique]])</f>
        <v>#REF!</v>
      </c>
      <c r="U254" s="50" t="e">
        <f>YEAR(RecetteTransport2[[#This Row],[Date Achevement  Mécanique]])</f>
        <v>#REF!</v>
      </c>
      <c r="V254" s="47"/>
      <c r="W254" s="50">
        <f>_xlfn.ISOWEEKNUM(RecetteTransport2[[#This Row],[Date de mesure]])</f>
        <v>52</v>
      </c>
      <c r="X254" s="11">
        <f>YEAR(RecetteTransport2[[#This Row],[Date de mesure]])</f>
        <v>1900</v>
      </c>
      <c r="Y254" s="47"/>
      <c r="Z254" s="50">
        <f>_xlfn.ISOWEEKNUM(RecetteTransport2[[#This Row],[Date envoie dossier mesure]])</f>
        <v>52</v>
      </c>
      <c r="AA254" s="50">
        <f>YEAR(RecetteTransport2[[#This Row],[Date envoie dossier mesure]])</f>
        <v>1900</v>
      </c>
      <c r="AB254" s="11"/>
      <c r="AC254" s="11"/>
      <c r="AE254" s="6" t="e">
        <f>RecetteTransport2[[#All],[Nb de reprises Optiques]]/#REF!</f>
        <v>#REF!</v>
      </c>
      <c r="AF254" s="6"/>
    </row>
    <row r="255" spans="1:32" x14ac:dyDescent="0.3">
      <c r="A255" t="s">
        <v>12</v>
      </c>
      <c r="D255" t="s">
        <v>541</v>
      </c>
      <c r="G255" s="11"/>
      <c r="H255" s="11"/>
      <c r="I255" s="11"/>
      <c r="J255" s="11">
        <f>RecetteTransport2[[#All],[Fibres TC NOK]]</f>
        <v>0</v>
      </c>
      <c r="K255" s="50">
        <f>RecetteTransport2[[#All],[Valeur Critique]]</f>
        <v>0</v>
      </c>
      <c r="L255" s="50">
        <f t="shared" si="14"/>
        <v>0</v>
      </c>
      <c r="P255" s="11">
        <f xml:space="preserve"> _xlfn.ISOWEEKNUM(RecetteTransport2[[#This Row],[Date validation Optique]])</f>
        <v>52</v>
      </c>
      <c r="Q255" s="11">
        <f>YEAR(RecetteTransport2[[#This Row],[Date validation Optique]])</f>
        <v>1900</v>
      </c>
      <c r="S255" s="47" t="e">
        <f>#REF!+10</f>
        <v>#REF!</v>
      </c>
      <c r="T255" s="50" t="e">
        <f>_xlfn.ISOWEEKNUM(RecetteTransport2[[#This Row],[Date Achevement  Mécanique]])</f>
        <v>#REF!</v>
      </c>
      <c r="U255" s="50" t="e">
        <f>YEAR(RecetteTransport2[[#This Row],[Date Achevement  Mécanique]])</f>
        <v>#REF!</v>
      </c>
      <c r="V255" s="47"/>
      <c r="W255" s="50">
        <f>_xlfn.ISOWEEKNUM(RecetteTransport2[[#This Row],[Date de mesure]])</f>
        <v>52</v>
      </c>
      <c r="X255" s="11">
        <f>YEAR(RecetteTransport2[[#This Row],[Date de mesure]])</f>
        <v>1900</v>
      </c>
      <c r="Y255" s="47"/>
      <c r="Z255" s="50">
        <f>_xlfn.ISOWEEKNUM(RecetteTransport2[[#This Row],[Date envoie dossier mesure]])</f>
        <v>52</v>
      </c>
      <c r="AA255" s="50">
        <f>YEAR(RecetteTransport2[[#This Row],[Date envoie dossier mesure]])</f>
        <v>1900</v>
      </c>
      <c r="AB255" s="11"/>
      <c r="AC255" s="11"/>
      <c r="AE255" s="6" t="e">
        <f>RecetteTransport2[[#All],[Nb de reprises Optiques]]/#REF!</f>
        <v>#REF!</v>
      </c>
      <c r="AF255" s="6"/>
    </row>
    <row r="256" spans="1:32" x14ac:dyDescent="0.3">
      <c r="A256" t="s">
        <v>12</v>
      </c>
      <c r="D256" t="s">
        <v>542</v>
      </c>
      <c r="G256" s="11"/>
      <c r="H256" s="11"/>
      <c r="I256" s="11"/>
      <c r="J256" s="11">
        <f>RecetteTransport2[[#All],[Fibres TC NOK]]</f>
        <v>0</v>
      </c>
      <c r="K256" s="50">
        <f>RecetteTransport2[[#All],[Valeur Critique]]</f>
        <v>0</v>
      </c>
      <c r="L256" s="50">
        <f t="shared" si="14"/>
        <v>0</v>
      </c>
      <c r="P256" s="11">
        <f xml:space="preserve"> _xlfn.ISOWEEKNUM(RecetteTransport2[[#This Row],[Date validation Optique]])</f>
        <v>52</v>
      </c>
      <c r="Q256" s="11">
        <f>YEAR(RecetteTransport2[[#This Row],[Date validation Optique]])</f>
        <v>1900</v>
      </c>
      <c r="S256" s="47" t="e">
        <f>#REF!+10</f>
        <v>#REF!</v>
      </c>
      <c r="T256" s="50" t="e">
        <f>_xlfn.ISOWEEKNUM(RecetteTransport2[[#This Row],[Date Achevement  Mécanique]])</f>
        <v>#REF!</v>
      </c>
      <c r="U256" s="50" t="e">
        <f>YEAR(RecetteTransport2[[#This Row],[Date Achevement  Mécanique]])</f>
        <v>#REF!</v>
      </c>
      <c r="V256" s="47"/>
      <c r="W256" s="50">
        <f>_xlfn.ISOWEEKNUM(RecetteTransport2[[#This Row],[Date de mesure]])</f>
        <v>52</v>
      </c>
      <c r="X256" s="11">
        <f>YEAR(RecetteTransport2[[#This Row],[Date de mesure]])</f>
        <v>1900</v>
      </c>
      <c r="Y256" s="47"/>
      <c r="Z256" s="50">
        <f>_xlfn.ISOWEEKNUM(RecetteTransport2[[#This Row],[Date envoie dossier mesure]])</f>
        <v>52</v>
      </c>
      <c r="AA256" s="50">
        <f>YEAR(RecetteTransport2[[#This Row],[Date envoie dossier mesure]])</f>
        <v>1900</v>
      </c>
      <c r="AB256" s="11"/>
      <c r="AC256" s="11"/>
      <c r="AE256" s="6" t="e">
        <f>RecetteTransport2[[#All],[Nb de reprises Optiques]]/#REF!</f>
        <v>#REF!</v>
      </c>
      <c r="AF256" s="6"/>
    </row>
    <row r="257" spans="1:32" x14ac:dyDescent="0.3">
      <c r="A257" t="s">
        <v>12</v>
      </c>
      <c r="D257" t="s">
        <v>543</v>
      </c>
      <c r="G257" s="11"/>
      <c r="H257" s="11"/>
      <c r="I257" s="11"/>
      <c r="J257" s="11">
        <f>RecetteTransport2[[#All],[Fibres TC NOK]]</f>
        <v>0</v>
      </c>
      <c r="K257" s="50">
        <f>RecetteTransport2[[#All],[Valeur Critique]]</f>
        <v>0</v>
      </c>
      <c r="L257" s="50">
        <f t="shared" si="14"/>
        <v>0</v>
      </c>
      <c r="P257" s="11">
        <f xml:space="preserve"> _xlfn.ISOWEEKNUM(RecetteTransport2[[#This Row],[Date validation Optique]])</f>
        <v>52</v>
      </c>
      <c r="Q257" s="11">
        <f>YEAR(RecetteTransport2[[#This Row],[Date validation Optique]])</f>
        <v>1900</v>
      </c>
      <c r="S257" s="47" t="e">
        <f>#REF!+10</f>
        <v>#REF!</v>
      </c>
      <c r="T257" s="50" t="e">
        <f>_xlfn.ISOWEEKNUM(RecetteTransport2[[#This Row],[Date Achevement  Mécanique]])</f>
        <v>#REF!</v>
      </c>
      <c r="U257" s="50" t="e">
        <f>YEAR(RecetteTransport2[[#This Row],[Date Achevement  Mécanique]])</f>
        <v>#REF!</v>
      </c>
      <c r="V257" s="47"/>
      <c r="W257" s="50">
        <f>_xlfn.ISOWEEKNUM(RecetteTransport2[[#This Row],[Date de mesure]])</f>
        <v>52</v>
      </c>
      <c r="X257" s="11">
        <f>YEAR(RecetteTransport2[[#This Row],[Date de mesure]])</f>
        <v>1900</v>
      </c>
      <c r="Y257" s="47"/>
      <c r="Z257" s="50">
        <f>_xlfn.ISOWEEKNUM(RecetteTransport2[[#This Row],[Date envoie dossier mesure]])</f>
        <v>52</v>
      </c>
      <c r="AA257" s="50">
        <f>YEAR(RecetteTransport2[[#This Row],[Date envoie dossier mesure]])</f>
        <v>1900</v>
      </c>
      <c r="AB257" s="11"/>
      <c r="AC257" s="11"/>
      <c r="AE257" s="6" t="e">
        <f>RecetteTransport2[[#All],[Nb de reprises Optiques]]/#REF!</f>
        <v>#REF!</v>
      </c>
      <c r="AF257" s="6"/>
    </row>
    <row r="258" spans="1:32" hidden="1" x14ac:dyDescent="0.3">
      <c r="A258" t="s">
        <v>12</v>
      </c>
      <c r="B258" t="s">
        <v>19</v>
      </c>
      <c r="C258" t="s">
        <v>42</v>
      </c>
      <c r="D258" t="s">
        <v>401</v>
      </c>
      <c r="F258" t="s">
        <v>49</v>
      </c>
      <c r="G258" s="11" t="s">
        <v>29</v>
      </c>
      <c r="H258" s="11" t="s">
        <v>29</v>
      </c>
      <c r="I258" s="11" t="s">
        <v>29</v>
      </c>
      <c r="J258" s="11">
        <f>RecetteTransport2[[#All],[Fibres TC NOK]]</f>
        <v>0</v>
      </c>
      <c r="K258" s="50">
        <f>RecetteTransport2[[#All],[Valeur Critique]]</f>
        <v>0</v>
      </c>
      <c r="L258" s="50">
        <f>AD:AD</f>
        <v>6</v>
      </c>
      <c r="N258" t="s">
        <v>65</v>
      </c>
      <c r="P258" s="11">
        <f xml:space="preserve"> _xlfn.ISOWEEKNUM(RecetteTransport2[[#This Row],[Date validation Optique]])</f>
        <v>52</v>
      </c>
      <c r="Q258" s="11">
        <f>YEAR(RecetteTransport2[[#This Row],[Date validation Optique]])</f>
        <v>1900</v>
      </c>
      <c r="R258" t="s">
        <v>65</v>
      </c>
      <c r="S258" s="2">
        <v>44230</v>
      </c>
      <c r="T258" s="50">
        <f>_xlfn.ISOWEEKNUM(RecetteTransport2[[#This Row],[Date Achevement  Mécanique]])</f>
        <v>5</v>
      </c>
      <c r="U258" s="50">
        <f>YEAR(RecetteTransport2[[#This Row],[Date Achevement  Mécanique]])</f>
        <v>2021</v>
      </c>
      <c r="V258" s="2">
        <v>44267</v>
      </c>
      <c r="W258" s="50">
        <f>_xlfn.ISOWEEKNUM(RecetteTransport2[[#This Row],[Date de mesure]])</f>
        <v>10</v>
      </c>
      <c r="X258" s="11">
        <f>YEAR(RecetteTransport2[[#This Row],[Date de mesure]])</f>
        <v>2021</v>
      </c>
      <c r="Y258" s="2">
        <v>44267</v>
      </c>
      <c r="Z258" s="50">
        <f>_xlfn.ISOWEEKNUM(RecetteTransport2[[#This Row],[Date envoie dossier mesure]])</f>
        <v>10</v>
      </c>
      <c r="AA258" s="50">
        <f>YEAR(RecetteTransport2[[#This Row],[Date envoie dossier mesure]])</f>
        <v>2021</v>
      </c>
      <c r="AB258" s="11">
        <v>0</v>
      </c>
      <c r="AC258" s="11">
        <v>0</v>
      </c>
      <c r="AD258" s="50">
        <v>6</v>
      </c>
      <c r="AE258" s="6" t="e">
        <f>RecetteTransport2[[#All],[Nb de reprises Optiques]]/#REF!</f>
        <v>#REF!</v>
      </c>
      <c r="AF258" s="6"/>
    </row>
    <row r="259" spans="1:32" hidden="1" x14ac:dyDescent="0.3">
      <c r="A259" t="s">
        <v>12</v>
      </c>
      <c r="B259" t="s">
        <v>19</v>
      </c>
      <c r="C259" t="s">
        <v>42</v>
      </c>
      <c r="D259" t="s">
        <v>219</v>
      </c>
      <c r="F259" t="s">
        <v>49</v>
      </c>
      <c r="G259" s="11" t="s">
        <v>29</v>
      </c>
      <c r="H259" s="11" t="s">
        <v>29</v>
      </c>
      <c r="I259" s="11" t="s">
        <v>29</v>
      </c>
      <c r="J259" s="11">
        <f>RecetteTransport2[[#All],[Fibres TC NOK]]</f>
        <v>0</v>
      </c>
      <c r="K259" s="50">
        <f>RecetteTransport2[[#All],[Valeur Critique]]</f>
        <v>0</v>
      </c>
      <c r="L259" s="50">
        <v>0</v>
      </c>
      <c r="N259" t="s">
        <v>389</v>
      </c>
      <c r="O259" s="2">
        <v>44230</v>
      </c>
      <c r="P259">
        <f xml:space="preserve"> _xlfn.ISOWEEKNUM(RecetteTransport2[[#This Row],[Date validation Optique]])</f>
        <v>5</v>
      </c>
      <c r="Q259">
        <f>YEAR(RecetteTransport2[[#This Row],[Date validation Optique]])</f>
        <v>2021</v>
      </c>
      <c r="R259" t="s">
        <v>65</v>
      </c>
      <c r="S259" s="2">
        <v>44230</v>
      </c>
      <c r="T259" s="50">
        <f>_xlfn.ISOWEEKNUM(RecetteTransport2[[#This Row],[Date Achevement  Mécanique]])</f>
        <v>5</v>
      </c>
      <c r="U259" s="50">
        <f>YEAR(RecetteTransport2[[#This Row],[Date Achevement  Mécanique]])</f>
        <v>2021</v>
      </c>
      <c r="V259" s="2"/>
      <c r="W259" s="50">
        <f>_xlfn.ISOWEEKNUM(RecetteTransport2[[#This Row],[Date de mesure]])</f>
        <v>52</v>
      </c>
      <c r="X259" s="11">
        <f>YEAR(RecetteTransport2[[#This Row],[Date de mesure]])</f>
        <v>1900</v>
      </c>
      <c r="Y259" s="2">
        <v>44204</v>
      </c>
      <c r="Z259" s="50">
        <f>_xlfn.ISOWEEKNUM(RecetteTransport2[[#This Row],[Date envoie dossier mesure]])</f>
        <v>1</v>
      </c>
      <c r="AA259" s="50">
        <f>YEAR(RecetteTransport2[[#This Row],[Date envoie dossier mesure]])</f>
        <v>2021</v>
      </c>
      <c r="AB259" s="11">
        <v>0</v>
      </c>
      <c r="AC259" s="11">
        <v>0</v>
      </c>
      <c r="AD259" s="50">
        <v>31</v>
      </c>
      <c r="AE259" s="6" t="e">
        <f>RecetteTransport2[[#All],[Nb de reprises Optiques]]/#REF!</f>
        <v>#REF!</v>
      </c>
      <c r="AF259" s="2">
        <v>44215</v>
      </c>
    </row>
    <row r="260" spans="1:32" hidden="1" x14ac:dyDescent="0.3">
      <c r="A260" t="s">
        <v>12</v>
      </c>
      <c r="B260" t="s">
        <v>19</v>
      </c>
      <c r="C260" t="s">
        <v>42</v>
      </c>
      <c r="D260" t="s">
        <v>403</v>
      </c>
      <c r="F260" t="s">
        <v>49</v>
      </c>
      <c r="G260" s="11" t="s">
        <v>29</v>
      </c>
      <c r="H260" s="11" t="s">
        <v>29</v>
      </c>
      <c r="I260" s="11" t="s">
        <v>29</v>
      </c>
      <c r="J260" s="11">
        <f>RecetteTransport2[[#All],[Fibres TC NOK]]</f>
        <v>0</v>
      </c>
      <c r="K260" s="50">
        <f>RecetteTransport2[[#All],[Valeur Critique]]</f>
        <v>0</v>
      </c>
      <c r="L260" s="50">
        <f>AD:AD</f>
        <v>4</v>
      </c>
      <c r="N260" t="s">
        <v>65</v>
      </c>
      <c r="P260" s="11">
        <f xml:space="preserve"> _xlfn.ISOWEEKNUM(RecetteTransport2[[#This Row],[Date validation Optique]])</f>
        <v>52</v>
      </c>
      <c r="Q260" s="11">
        <f>YEAR(RecetteTransport2[[#This Row],[Date validation Optique]])</f>
        <v>1900</v>
      </c>
      <c r="R260" t="s">
        <v>65</v>
      </c>
      <c r="S260" s="2">
        <v>44230</v>
      </c>
      <c r="T260" s="50">
        <f>_xlfn.ISOWEEKNUM(RecetteTransport2[[#This Row],[Date Achevement  Mécanique]])</f>
        <v>5</v>
      </c>
      <c r="U260" s="50">
        <f>YEAR(RecetteTransport2[[#This Row],[Date Achevement  Mécanique]])</f>
        <v>2021</v>
      </c>
      <c r="V260" s="2">
        <v>44258</v>
      </c>
      <c r="W260" s="50">
        <f>_xlfn.ISOWEEKNUM(RecetteTransport2[[#This Row],[Date de mesure]])</f>
        <v>9</v>
      </c>
      <c r="X260" s="11">
        <f>YEAR(RecetteTransport2[[#This Row],[Date de mesure]])</f>
        <v>2021</v>
      </c>
      <c r="Y260" s="2">
        <v>44259</v>
      </c>
      <c r="Z260" s="50">
        <f>_xlfn.ISOWEEKNUM(RecetteTransport2[[#This Row],[Date envoie dossier mesure]])</f>
        <v>9</v>
      </c>
      <c r="AA260" s="50">
        <f>YEAR(RecetteTransport2[[#This Row],[Date envoie dossier mesure]])</f>
        <v>2021</v>
      </c>
      <c r="AB260" s="11">
        <v>0</v>
      </c>
      <c r="AC260" s="11">
        <v>0</v>
      </c>
      <c r="AD260" s="50">
        <v>4</v>
      </c>
      <c r="AE260" s="6" t="e">
        <f>RecetteTransport2[[#All],[Nb de reprises Optiques]]/#REF!</f>
        <v>#REF!</v>
      </c>
      <c r="AF260" s="6"/>
    </row>
    <row r="261" spans="1:32" hidden="1" x14ac:dyDescent="0.3">
      <c r="A261" t="s">
        <v>12</v>
      </c>
      <c r="B261" t="s">
        <v>19</v>
      </c>
      <c r="C261" t="s">
        <v>42</v>
      </c>
      <c r="D261" t="s">
        <v>218</v>
      </c>
      <c r="F261" t="s">
        <v>49</v>
      </c>
      <c r="G261" s="11" t="s">
        <v>29</v>
      </c>
      <c r="H261" s="11" t="s">
        <v>29</v>
      </c>
      <c r="I261" s="11" t="s">
        <v>29</v>
      </c>
      <c r="J261" s="11">
        <f>RecetteTransport2[[#All],[Fibres TC NOK]]</f>
        <v>0</v>
      </c>
      <c r="K261" s="50">
        <f>RecetteTransport2[[#All],[Valeur Critique]]</f>
        <v>0</v>
      </c>
      <c r="L261" s="50">
        <v>0</v>
      </c>
      <c r="N261" t="s">
        <v>389</v>
      </c>
      <c r="O261" s="2">
        <v>44230</v>
      </c>
      <c r="P261">
        <f xml:space="preserve"> _xlfn.ISOWEEKNUM(RecetteTransport2[[#This Row],[Date validation Optique]])</f>
        <v>5</v>
      </c>
      <c r="Q261">
        <f>YEAR(RecetteTransport2[[#This Row],[Date validation Optique]])</f>
        <v>2021</v>
      </c>
      <c r="R261" t="s">
        <v>65</v>
      </c>
      <c r="S261" s="2">
        <v>44230</v>
      </c>
      <c r="T261" s="50">
        <f>_xlfn.ISOWEEKNUM(RecetteTransport2[[#This Row],[Date Achevement  Mécanique]])</f>
        <v>5</v>
      </c>
      <c r="U261" s="50">
        <f>YEAR(RecetteTransport2[[#This Row],[Date Achevement  Mécanique]])</f>
        <v>2021</v>
      </c>
      <c r="V261" s="2"/>
      <c r="W261" s="50">
        <f>_xlfn.ISOWEEKNUM(RecetteTransport2[[#This Row],[Date de mesure]])</f>
        <v>52</v>
      </c>
      <c r="X261" s="11">
        <f>YEAR(RecetteTransport2[[#This Row],[Date de mesure]])</f>
        <v>1900</v>
      </c>
      <c r="Y261" s="2">
        <v>44204</v>
      </c>
      <c r="Z261" s="50">
        <f>_xlfn.ISOWEEKNUM(RecetteTransport2[[#This Row],[Date envoie dossier mesure]])</f>
        <v>1</v>
      </c>
      <c r="AA261" s="50">
        <f>YEAR(RecetteTransport2[[#This Row],[Date envoie dossier mesure]])</f>
        <v>2021</v>
      </c>
      <c r="AB261" s="11">
        <v>0</v>
      </c>
      <c r="AC261" s="11">
        <v>0</v>
      </c>
      <c r="AD261" s="50">
        <v>24</v>
      </c>
      <c r="AE261" s="6" t="e">
        <f>RecetteTransport2[[#All],[Nb de reprises Optiques]]/#REF!</f>
        <v>#REF!</v>
      </c>
      <c r="AF261" s="2">
        <v>44215</v>
      </c>
    </row>
    <row r="262" spans="1:32" hidden="1" x14ac:dyDescent="0.3">
      <c r="A262" t="s">
        <v>12</v>
      </c>
      <c r="B262" t="s">
        <v>19</v>
      </c>
      <c r="C262" t="s">
        <v>42</v>
      </c>
      <c r="D262" t="s">
        <v>278</v>
      </c>
      <c r="F262" t="s">
        <v>49</v>
      </c>
      <c r="G262" s="11" t="s">
        <v>29</v>
      </c>
      <c r="H262" s="11" t="s">
        <v>29</v>
      </c>
      <c r="I262" s="11" t="s">
        <v>29</v>
      </c>
      <c r="J262" s="11">
        <f>RecetteTransport2[[#All],[Fibres TC NOK]]</f>
        <v>0</v>
      </c>
      <c r="K262" s="50">
        <f>RecetteTransport2[[#All],[Valeur Critique]]</f>
        <v>2</v>
      </c>
      <c r="L262" s="50">
        <f>AD:AD</f>
        <v>8</v>
      </c>
      <c r="N262" t="s">
        <v>65</v>
      </c>
      <c r="P262">
        <f xml:space="preserve"> _xlfn.ISOWEEKNUM(RecetteTransport2[[#This Row],[Date validation Optique]])</f>
        <v>52</v>
      </c>
      <c r="Q262">
        <f>YEAR(RecetteTransport2[[#This Row],[Date validation Optique]])</f>
        <v>1900</v>
      </c>
      <c r="R262" t="s">
        <v>65</v>
      </c>
      <c r="S262" s="2">
        <v>44230</v>
      </c>
      <c r="T262" s="50">
        <f>_xlfn.ISOWEEKNUM(RecetteTransport2[[#This Row],[Date Achevement  Mécanique]])</f>
        <v>5</v>
      </c>
      <c r="U262" s="50">
        <f>YEAR(RecetteTransport2[[#This Row],[Date Achevement  Mécanique]])</f>
        <v>2021</v>
      </c>
      <c r="V262" s="2">
        <v>44265</v>
      </c>
      <c r="W262" s="50">
        <f>_xlfn.ISOWEEKNUM(RecetteTransport2[[#This Row],[Date de mesure]])</f>
        <v>10</v>
      </c>
      <c r="X262" s="11">
        <f>YEAR(RecetteTransport2[[#This Row],[Date de mesure]])</f>
        <v>2021</v>
      </c>
      <c r="Y262" s="2">
        <v>44270</v>
      </c>
      <c r="Z262" s="50">
        <f>_xlfn.ISOWEEKNUM(RecetteTransport2[[#This Row],[Date envoie dossier mesure]])</f>
        <v>11</v>
      </c>
      <c r="AA262" s="50">
        <f>YEAR(RecetteTransport2[[#This Row],[Date envoie dossier mesure]])</f>
        <v>2021</v>
      </c>
      <c r="AB262" s="11">
        <v>0</v>
      </c>
      <c r="AC262" s="11">
        <v>2</v>
      </c>
      <c r="AD262" s="50">
        <v>8</v>
      </c>
      <c r="AE262" s="6" t="e">
        <f>RecetteTransport2[[#All],[Nb de reprises Optiques]]/#REF!</f>
        <v>#REF!</v>
      </c>
      <c r="AF262" s="6"/>
    </row>
    <row r="263" spans="1:32" ht="12.6" hidden="1" customHeight="1" x14ac:dyDescent="0.3">
      <c r="A263" t="s">
        <v>12</v>
      </c>
      <c r="B263" t="s">
        <v>19</v>
      </c>
      <c r="C263" t="s">
        <v>42</v>
      </c>
      <c r="D263" t="s">
        <v>404</v>
      </c>
      <c r="F263" t="s">
        <v>49</v>
      </c>
      <c r="G263" s="11" t="s">
        <v>29</v>
      </c>
      <c r="H263" s="11" t="s">
        <v>29</v>
      </c>
      <c r="I263" s="11" t="s">
        <v>29</v>
      </c>
      <c r="J263" s="11">
        <f>RecetteTransport2[[#All],[Fibres TC NOK]]</f>
        <v>0</v>
      </c>
      <c r="K263" s="50">
        <f>RecetteTransport2[[#All],[Valeur Critique]]</f>
        <v>0</v>
      </c>
      <c r="L263" s="50">
        <f>AD:AD</f>
        <v>8</v>
      </c>
      <c r="N263" t="s">
        <v>65</v>
      </c>
      <c r="P263" s="11">
        <f xml:space="preserve"> _xlfn.ISOWEEKNUM(RecetteTransport2[[#This Row],[Date validation Optique]])</f>
        <v>52</v>
      </c>
      <c r="Q263" s="11">
        <f>YEAR(RecetteTransport2[[#This Row],[Date validation Optique]])</f>
        <v>1900</v>
      </c>
      <c r="R263" t="s">
        <v>65</v>
      </c>
      <c r="S263" s="2">
        <v>44230</v>
      </c>
      <c r="T263" s="50">
        <f>_xlfn.ISOWEEKNUM(RecetteTransport2[[#This Row],[Date Achevement  Mécanique]])</f>
        <v>5</v>
      </c>
      <c r="U263" s="50">
        <f>YEAR(RecetteTransport2[[#This Row],[Date Achevement  Mécanique]])</f>
        <v>2021</v>
      </c>
      <c r="V263" s="2">
        <v>44258</v>
      </c>
      <c r="W263" s="50">
        <f>_xlfn.ISOWEEKNUM(RecetteTransport2[[#This Row],[Date de mesure]])</f>
        <v>9</v>
      </c>
      <c r="X263" s="11">
        <f>YEAR(RecetteTransport2[[#This Row],[Date de mesure]])</f>
        <v>2021</v>
      </c>
      <c r="Y263" s="2">
        <v>44259</v>
      </c>
      <c r="Z263" s="50">
        <f>_xlfn.ISOWEEKNUM(RecetteTransport2[[#This Row],[Date envoie dossier mesure]])</f>
        <v>9</v>
      </c>
      <c r="AA263" s="50">
        <f>YEAR(RecetteTransport2[[#This Row],[Date envoie dossier mesure]])</f>
        <v>2021</v>
      </c>
      <c r="AB263" s="11">
        <v>0</v>
      </c>
      <c r="AC263" s="11">
        <v>0</v>
      </c>
      <c r="AD263" s="50">
        <v>8</v>
      </c>
      <c r="AE263" s="6" t="e">
        <f>RecetteTransport2[[#All],[Nb de reprises Optiques]]/#REF!</f>
        <v>#REF!</v>
      </c>
      <c r="AF263" s="6"/>
    </row>
    <row r="264" spans="1:32" ht="12.6" customHeight="1" x14ac:dyDescent="0.3">
      <c r="A264" t="s">
        <v>12</v>
      </c>
      <c r="B264" t="s">
        <v>19</v>
      </c>
      <c r="C264" t="s">
        <v>42</v>
      </c>
      <c r="D264" t="s">
        <v>544</v>
      </c>
      <c r="G264" s="11"/>
      <c r="H264" s="11"/>
      <c r="I264" s="11"/>
      <c r="J264" s="11">
        <f>RecetteTransport2[[#All],[Fibres TC NOK]]</f>
        <v>0</v>
      </c>
      <c r="K264" s="50">
        <f>RecetteTransport2[[#All],[Valeur Critique]]</f>
        <v>0</v>
      </c>
      <c r="L264" s="50">
        <f t="shared" ref="L264:L266" si="15">AD:AD</f>
        <v>0</v>
      </c>
      <c r="P264" s="11">
        <f xml:space="preserve"> _xlfn.ISOWEEKNUM(RecetteTransport2[[#This Row],[Date validation Optique]])</f>
        <v>52</v>
      </c>
      <c r="Q264" s="11">
        <f>YEAR(RecetteTransport2[[#This Row],[Date validation Optique]])</f>
        <v>1900</v>
      </c>
      <c r="S264" s="47" t="e">
        <f>#REF!+10</f>
        <v>#REF!</v>
      </c>
      <c r="T264" s="50" t="e">
        <f>_xlfn.ISOWEEKNUM(RecetteTransport2[[#This Row],[Date Achevement  Mécanique]])</f>
        <v>#REF!</v>
      </c>
      <c r="U264" s="50" t="e">
        <f>YEAR(RecetteTransport2[[#This Row],[Date Achevement  Mécanique]])</f>
        <v>#REF!</v>
      </c>
      <c r="V264" s="47"/>
      <c r="W264" s="50">
        <f>_xlfn.ISOWEEKNUM(RecetteTransport2[[#This Row],[Date de mesure]])</f>
        <v>52</v>
      </c>
      <c r="X264" s="11">
        <f>YEAR(RecetteTransport2[[#This Row],[Date de mesure]])</f>
        <v>1900</v>
      </c>
      <c r="Y264" s="47"/>
      <c r="Z264" s="50">
        <f>_xlfn.ISOWEEKNUM(RecetteTransport2[[#This Row],[Date envoie dossier mesure]])</f>
        <v>52</v>
      </c>
      <c r="AA264" s="50">
        <f>YEAR(RecetteTransport2[[#This Row],[Date envoie dossier mesure]])</f>
        <v>1900</v>
      </c>
      <c r="AB264" s="11"/>
      <c r="AC264" s="11"/>
      <c r="AE264" s="6" t="e">
        <f>RecetteTransport2[[#All],[Nb de reprises Optiques]]/#REF!</f>
        <v>#REF!</v>
      </c>
      <c r="AF264" s="6"/>
    </row>
    <row r="265" spans="1:32" ht="12.6" customHeight="1" x14ac:dyDescent="0.3">
      <c r="A265" t="s">
        <v>12</v>
      </c>
      <c r="B265" t="s">
        <v>19</v>
      </c>
      <c r="C265" t="s">
        <v>42</v>
      </c>
      <c r="D265" t="s">
        <v>545</v>
      </c>
      <c r="G265" s="11"/>
      <c r="H265" s="11"/>
      <c r="I265" s="11"/>
      <c r="J265" s="11">
        <f>RecetteTransport2[[#All],[Fibres TC NOK]]</f>
        <v>0</v>
      </c>
      <c r="K265" s="50">
        <f>RecetteTransport2[[#All],[Valeur Critique]]</f>
        <v>0</v>
      </c>
      <c r="L265" s="50">
        <f t="shared" si="15"/>
        <v>0</v>
      </c>
      <c r="P265" s="11">
        <f xml:space="preserve"> _xlfn.ISOWEEKNUM(RecetteTransport2[[#This Row],[Date validation Optique]])</f>
        <v>52</v>
      </c>
      <c r="Q265" s="11">
        <f>YEAR(RecetteTransport2[[#This Row],[Date validation Optique]])</f>
        <v>1900</v>
      </c>
      <c r="S265" s="47" t="e">
        <f>#REF!+10</f>
        <v>#REF!</v>
      </c>
      <c r="T265" s="50" t="e">
        <f>_xlfn.ISOWEEKNUM(RecetteTransport2[[#This Row],[Date Achevement  Mécanique]])</f>
        <v>#REF!</v>
      </c>
      <c r="U265" s="50" t="e">
        <f>YEAR(RecetteTransport2[[#This Row],[Date Achevement  Mécanique]])</f>
        <v>#REF!</v>
      </c>
      <c r="V265" s="47"/>
      <c r="W265" s="50">
        <f>_xlfn.ISOWEEKNUM(RecetteTransport2[[#This Row],[Date de mesure]])</f>
        <v>52</v>
      </c>
      <c r="X265" s="11">
        <f>YEAR(RecetteTransport2[[#This Row],[Date de mesure]])</f>
        <v>1900</v>
      </c>
      <c r="Y265" s="47"/>
      <c r="Z265" s="50">
        <f>_xlfn.ISOWEEKNUM(RecetteTransport2[[#This Row],[Date envoie dossier mesure]])</f>
        <v>52</v>
      </c>
      <c r="AA265" s="50">
        <f>YEAR(RecetteTransport2[[#This Row],[Date envoie dossier mesure]])</f>
        <v>1900</v>
      </c>
      <c r="AB265" s="11"/>
      <c r="AC265" s="11"/>
      <c r="AE265" s="6" t="e">
        <f>RecetteTransport2[[#All],[Nb de reprises Optiques]]/#REF!</f>
        <v>#REF!</v>
      </c>
      <c r="AF265" s="6"/>
    </row>
    <row r="266" spans="1:32" ht="12.6" customHeight="1" x14ac:dyDescent="0.3">
      <c r="A266" t="s">
        <v>12</v>
      </c>
      <c r="D266" t="s">
        <v>546</v>
      </c>
      <c r="G266" s="11"/>
      <c r="H266" s="11"/>
      <c r="I266" s="11"/>
      <c r="J266" s="11">
        <f>RecetteTransport2[[#All],[Fibres TC NOK]]</f>
        <v>0</v>
      </c>
      <c r="K266" s="50">
        <f>RecetteTransport2[[#All],[Valeur Critique]]</f>
        <v>0</v>
      </c>
      <c r="L266" s="50">
        <f t="shared" si="15"/>
        <v>0</v>
      </c>
      <c r="P266" s="11">
        <f xml:space="preserve"> _xlfn.ISOWEEKNUM(RecetteTransport2[[#This Row],[Date validation Optique]])</f>
        <v>52</v>
      </c>
      <c r="Q266" s="11">
        <f>YEAR(RecetteTransport2[[#This Row],[Date validation Optique]])</f>
        <v>1900</v>
      </c>
      <c r="S266" s="47" t="e">
        <f>#REF!+10</f>
        <v>#REF!</v>
      </c>
      <c r="T266" s="50" t="e">
        <f>_xlfn.ISOWEEKNUM(RecetteTransport2[[#This Row],[Date Achevement  Mécanique]])</f>
        <v>#REF!</v>
      </c>
      <c r="U266" s="50" t="e">
        <f>YEAR(RecetteTransport2[[#This Row],[Date Achevement  Mécanique]])</f>
        <v>#REF!</v>
      </c>
      <c r="V266" s="47"/>
      <c r="W266" s="50">
        <f>_xlfn.ISOWEEKNUM(RecetteTransport2[[#This Row],[Date de mesure]])</f>
        <v>52</v>
      </c>
      <c r="X266" s="11">
        <f>YEAR(RecetteTransport2[[#This Row],[Date de mesure]])</f>
        <v>1900</v>
      </c>
      <c r="Y266" s="47"/>
      <c r="Z266" s="50">
        <f>_xlfn.ISOWEEKNUM(RecetteTransport2[[#This Row],[Date envoie dossier mesure]])</f>
        <v>52</v>
      </c>
      <c r="AA266" s="50">
        <f>YEAR(RecetteTransport2[[#This Row],[Date envoie dossier mesure]])</f>
        <v>1900</v>
      </c>
      <c r="AB266" s="11"/>
      <c r="AC266" s="11"/>
      <c r="AE266" s="6" t="e">
        <f>RecetteTransport2[[#All],[Nb de reprises Optiques]]/#REF!</f>
        <v>#REF!</v>
      </c>
      <c r="AF266" s="6"/>
    </row>
    <row r="267" spans="1:32" hidden="1" x14ac:dyDescent="0.3">
      <c r="A267" t="s">
        <v>12</v>
      </c>
      <c r="B267" t="s">
        <v>20</v>
      </c>
      <c r="C267" t="s">
        <v>327</v>
      </c>
      <c r="D267" t="s">
        <v>328</v>
      </c>
      <c r="G267" s="11"/>
      <c r="H267" s="11" t="s">
        <v>29</v>
      </c>
      <c r="I267" s="11" t="s">
        <v>29</v>
      </c>
      <c r="J267" s="11">
        <f>RecetteTransport2[[#All],[Fibres TC NOK]]</f>
        <v>13</v>
      </c>
      <c r="K267" s="50">
        <f>RecetteTransport2[[#All],[Valeur Critique]]</f>
        <v>1</v>
      </c>
      <c r="L267" s="50">
        <f>AD:AD</f>
        <v>125</v>
      </c>
      <c r="N267" t="s">
        <v>65</v>
      </c>
      <c r="P267">
        <f xml:space="preserve"> _xlfn.ISOWEEKNUM(RecetteTransport2[[#This Row],[Date validation Optique]])</f>
        <v>52</v>
      </c>
      <c r="Q267">
        <f>YEAR(RecetteTransport2[[#This Row],[Date validation Optique]])</f>
        <v>1900</v>
      </c>
      <c r="T267" s="50">
        <f>_xlfn.ISOWEEKNUM(RecetteTransport2[[#This Row],[Date Achevement  Mécanique]])</f>
        <v>52</v>
      </c>
      <c r="U267" s="50">
        <f>YEAR(RecetteTransport2[[#This Row],[Date Achevement  Mécanique]])</f>
        <v>1900</v>
      </c>
      <c r="V267" s="2"/>
      <c r="W267" s="50">
        <f>_xlfn.ISOWEEKNUM(RecetteTransport2[[#This Row],[Date de mesure]])</f>
        <v>52</v>
      </c>
      <c r="X267" s="11">
        <f>YEAR(RecetteTransport2[[#This Row],[Date de mesure]])</f>
        <v>1900</v>
      </c>
      <c r="Y267" s="2">
        <v>44221</v>
      </c>
      <c r="Z267" s="50">
        <f>_xlfn.ISOWEEKNUM(RecetteTransport2[[#This Row],[Date envoie dossier mesure]])</f>
        <v>4</v>
      </c>
      <c r="AA267" s="50">
        <f>YEAR(RecetteTransport2[[#This Row],[Date envoie dossier mesure]])</f>
        <v>2021</v>
      </c>
      <c r="AB267" s="11">
        <v>13</v>
      </c>
      <c r="AC267" s="11">
        <v>1</v>
      </c>
      <c r="AD267" s="50">
        <v>125</v>
      </c>
      <c r="AE267" s="6" t="e">
        <f>RecetteTransport2[[#All],[Nb de reprises Optiques]]/#REF!</f>
        <v>#REF!</v>
      </c>
      <c r="AF267" s="6"/>
    </row>
    <row r="268" spans="1:32" x14ac:dyDescent="0.3">
      <c r="A268" t="s">
        <v>12</v>
      </c>
      <c r="B268" t="s">
        <v>225</v>
      </c>
      <c r="C268" t="s">
        <v>603</v>
      </c>
      <c r="D268" t="s">
        <v>547</v>
      </c>
      <c r="G268" s="11"/>
      <c r="H268" s="11"/>
      <c r="I268" s="11"/>
      <c r="J268" s="11">
        <f>RecetteTransport2[[#All],[Fibres TC NOK]]</f>
        <v>0</v>
      </c>
      <c r="K268" s="50">
        <f>RecetteTransport2[[#All],[Valeur Critique]]</f>
        <v>0</v>
      </c>
      <c r="L268" s="50">
        <f>AD:AD</f>
        <v>0</v>
      </c>
      <c r="P268" s="11">
        <f xml:space="preserve"> _xlfn.ISOWEEKNUM(RecetteTransport2[[#This Row],[Date validation Optique]])</f>
        <v>52</v>
      </c>
      <c r="Q268" s="11">
        <f>YEAR(RecetteTransport2[[#This Row],[Date validation Optique]])</f>
        <v>1900</v>
      </c>
      <c r="S268" s="47" t="e">
        <f>#REF!+10</f>
        <v>#REF!</v>
      </c>
      <c r="T268" s="50" t="e">
        <f>_xlfn.ISOWEEKNUM(RecetteTransport2[[#This Row],[Date Achevement  Mécanique]])</f>
        <v>#REF!</v>
      </c>
      <c r="U268" s="50" t="e">
        <f>YEAR(RecetteTransport2[[#This Row],[Date Achevement  Mécanique]])</f>
        <v>#REF!</v>
      </c>
      <c r="V268" s="47"/>
      <c r="W268" s="50">
        <f>_xlfn.ISOWEEKNUM(RecetteTransport2[[#This Row],[Date de mesure]])</f>
        <v>52</v>
      </c>
      <c r="X268" s="11">
        <f>YEAR(RecetteTransport2[[#This Row],[Date de mesure]])</f>
        <v>1900</v>
      </c>
      <c r="Y268" s="47"/>
      <c r="Z268" s="50">
        <f>_xlfn.ISOWEEKNUM(RecetteTransport2[[#This Row],[Date envoie dossier mesure]])</f>
        <v>52</v>
      </c>
      <c r="AA268" s="50">
        <f>YEAR(RecetteTransport2[[#This Row],[Date envoie dossier mesure]])</f>
        <v>1900</v>
      </c>
      <c r="AB268" s="11"/>
      <c r="AC268" s="11"/>
      <c r="AE268" s="6" t="e">
        <f>RecetteTransport2[[#All],[Nb de reprises Optiques]]/#REF!</f>
        <v>#REF!</v>
      </c>
      <c r="AF268" s="6"/>
    </row>
    <row r="269" spans="1:32" hidden="1" x14ac:dyDescent="0.3">
      <c r="A269" t="s">
        <v>12</v>
      </c>
      <c r="B269" t="s">
        <v>63</v>
      </c>
      <c r="C269" t="s">
        <v>161</v>
      </c>
      <c r="D269" t="s">
        <v>162</v>
      </c>
      <c r="E269">
        <v>4921808</v>
      </c>
      <c r="G269" s="11"/>
      <c r="H269" s="11" t="s">
        <v>29</v>
      </c>
      <c r="I269" s="11" t="s">
        <v>29</v>
      </c>
      <c r="J269" s="11">
        <f>RecetteTransport2[[#All],[Fibres TC NOK]]</f>
        <v>0</v>
      </c>
      <c r="K269" s="50">
        <f>RecetteTransport2[[#All],[Valeur Critique]]</f>
        <v>0</v>
      </c>
      <c r="L269" s="50">
        <f>AD:AD</f>
        <v>0</v>
      </c>
      <c r="N269" t="s">
        <v>389</v>
      </c>
      <c r="P269">
        <f xml:space="preserve"> _xlfn.ISOWEEKNUM(RecetteTransport2[[#This Row],[Date validation Optique]])</f>
        <v>52</v>
      </c>
      <c r="Q269">
        <f>YEAR(RecetteTransport2[[#This Row],[Date validation Optique]])</f>
        <v>1900</v>
      </c>
      <c r="T269" s="50">
        <f>_xlfn.ISOWEEKNUM(RecetteTransport2[[#This Row],[Date Achevement  Mécanique]])</f>
        <v>52</v>
      </c>
      <c r="U269" s="50">
        <f>YEAR(RecetteTransport2[[#This Row],[Date Achevement  Mécanique]])</f>
        <v>1900</v>
      </c>
      <c r="V269" s="2"/>
      <c r="W269" s="50">
        <f>_xlfn.ISOWEEKNUM(RecetteTransport2[[#This Row],[Date de mesure]])</f>
        <v>52</v>
      </c>
      <c r="X269" s="11">
        <f>YEAR(RecetteTransport2[[#This Row],[Date de mesure]])</f>
        <v>1900</v>
      </c>
      <c r="Y269" s="2">
        <v>44168</v>
      </c>
      <c r="Z269" s="50">
        <f>_xlfn.ISOWEEKNUM(RecetteTransport2[[#This Row],[Date envoie dossier mesure]])</f>
        <v>49</v>
      </c>
      <c r="AA269" s="50">
        <f>YEAR(RecetteTransport2[[#This Row],[Date envoie dossier mesure]])</f>
        <v>2020</v>
      </c>
      <c r="AB269" s="11">
        <v>0</v>
      </c>
      <c r="AC269" s="11">
        <v>0</v>
      </c>
      <c r="AD269" s="50">
        <v>0</v>
      </c>
      <c r="AE269" s="6" t="e">
        <f>RecetteTransport2[[#All],[Nb de reprises Optiques]]/#REF!</f>
        <v>#REF!</v>
      </c>
      <c r="AF269" s="6"/>
    </row>
    <row r="270" spans="1:32" hidden="1" x14ac:dyDescent="0.3">
      <c r="A270" t="s">
        <v>12</v>
      </c>
      <c r="B270" t="s">
        <v>63</v>
      </c>
      <c r="C270" t="s">
        <v>154</v>
      </c>
      <c r="D270" t="s">
        <v>163</v>
      </c>
      <c r="G270" s="11"/>
      <c r="H270" s="11" t="s">
        <v>29</v>
      </c>
      <c r="I270" s="11" t="s">
        <v>29</v>
      </c>
      <c r="J270" s="11">
        <f>RecetteTransport2[[#All],[Fibres TC NOK]]</f>
        <v>0</v>
      </c>
      <c r="K270" s="50">
        <f>RecetteTransport2[[#All],[Valeur Critique]]</f>
        <v>0</v>
      </c>
      <c r="L270" s="50">
        <f>AD:AD</f>
        <v>11</v>
      </c>
      <c r="N270" t="s">
        <v>65</v>
      </c>
      <c r="P270">
        <f xml:space="preserve"> _xlfn.ISOWEEKNUM(RecetteTransport2[[#This Row],[Date validation Optique]])</f>
        <v>52</v>
      </c>
      <c r="Q270">
        <f>YEAR(RecetteTransport2[[#This Row],[Date validation Optique]])</f>
        <v>1900</v>
      </c>
      <c r="T270" s="50">
        <f>_xlfn.ISOWEEKNUM(RecetteTransport2[[#This Row],[Date Achevement  Mécanique]])</f>
        <v>52</v>
      </c>
      <c r="U270" s="50">
        <f>YEAR(RecetteTransport2[[#This Row],[Date Achevement  Mécanique]])</f>
        <v>1900</v>
      </c>
      <c r="V270" s="2"/>
      <c r="W270" s="50">
        <f>_xlfn.ISOWEEKNUM(RecetteTransport2[[#This Row],[Date de mesure]])</f>
        <v>52</v>
      </c>
      <c r="X270" s="11">
        <f>YEAR(RecetteTransport2[[#This Row],[Date de mesure]])</f>
        <v>1900</v>
      </c>
      <c r="Y270" s="2">
        <v>44223</v>
      </c>
      <c r="Z270" s="50">
        <f>_xlfn.ISOWEEKNUM(RecetteTransport2[[#This Row],[Date envoie dossier mesure]])</f>
        <v>4</v>
      </c>
      <c r="AA270" s="50">
        <f>YEAR(RecetteTransport2[[#This Row],[Date envoie dossier mesure]])</f>
        <v>2021</v>
      </c>
      <c r="AB270" s="11">
        <v>0</v>
      </c>
      <c r="AC270" s="11">
        <v>0</v>
      </c>
      <c r="AD270" s="50">
        <v>11</v>
      </c>
      <c r="AE270" s="6" t="e">
        <f>RecetteTransport2[[#All],[Nb de reprises Optiques]]/#REF!</f>
        <v>#REF!</v>
      </c>
      <c r="AF270" s="6"/>
    </row>
    <row r="271" spans="1:32" hidden="1" x14ac:dyDescent="0.3">
      <c r="A271" t="s">
        <v>12</v>
      </c>
      <c r="B271" t="s">
        <v>63</v>
      </c>
      <c r="C271" t="s">
        <v>154</v>
      </c>
      <c r="D271" t="s">
        <v>174</v>
      </c>
      <c r="G271" s="11"/>
      <c r="H271" s="11" t="s">
        <v>29</v>
      </c>
      <c r="I271" s="11" t="s">
        <v>29</v>
      </c>
      <c r="J271" s="11">
        <f>RecetteTransport2[[#All],[Fibres TC NOK]]</f>
        <v>0</v>
      </c>
      <c r="K271" s="50">
        <f>RecetteTransport2[[#All],[Valeur Critique]]</f>
        <v>0</v>
      </c>
      <c r="L271" s="50">
        <f>AD:AD</f>
        <v>2</v>
      </c>
      <c r="N271" t="s">
        <v>65</v>
      </c>
      <c r="P271">
        <f xml:space="preserve"> _xlfn.ISOWEEKNUM(RecetteTransport2[[#This Row],[Date validation Optique]])</f>
        <v>52</v>
      </c>
      <c r="Q271">
        <f>YEAR(RecetteTransport2[[#This Row],[Date validation Optique]])</f>
        <v>1900</v>
      </c>
      <c r="T271" s="50">
        <f>_xlfn.ISOWEEKNUM(RecetteTransport2[[#This Row],[Date Achevement  Mécanique]])</f>
        <v>52</v>
      </c>
      <c r="U271" s="50">
        <f>YEAR(RecetteTransport2[[#This Row],[Date Achevement  Mécanique]])</f>
        <v>1900</v>
      </c>
      <c r="V271" s="2"/>
      <c r="W271" s="50">
        <f>_xlfn.ISOWEEKNUM(RecetteTransport2[[#This Row],[Date de mesure]])</f>
        <v>52</v>
      </c>
      <c r="X271" s="11">
        <f>YEAR(RecetteTransport2[[#This Row],[Date de mesure]])</f>
        <v>1900</v>
      </c>
      <c r="Y271" s="2">
        <v>44223</v>
      </c>
      <c r="Z271" s="50">
        <f>_xlfn.ISOWEEKNUM(RecetteTransport2[[#This Row],[Date envoie dossier mesure]])</f>
        <v>4</v>
      </c>
      <c r="AA271" s="50">
        <f>YEAR(RecetteTransport2[[#This Row],[Date envoie dossier mesure]])</f>
        <v>2021</v>
      </c>
      <c r="AB271" s="11">
        <v>0</v>
      </c>
      <c r="AC271" s="11">
        <v>0</v>
      </c>
      <c r="AD271" s="50">
        <v>2</v>
      </c>
      <c r="AE271" s="6" t="e">
        <f>RecetteTransport2[[#All],[Nb de reprises Optiques]]/#REF!</f>
        <v>#REF!</v>
      </c>
      <c r="AF271" s="6"/>
    </row>
    <row r="272" spans="1:32" hidden="1" x14ac:dyDescent="0.3">
      <c r="A272" t="s">
        <v>12</v>
      </c>
      <c r="B272" t="s">
        <v>63</v>
      </c>
      <c r="C272" t="s">
        <v>154</v>
      </c>
      <c r="D272" t="s">
        <v>155</v>
      </c>
      <c r="G272" s="11"/>
      <c r="H272" s="11" t="s">
        <v>29</v>
      </c>
      <c r="I272" s="11" t="s">
        <v>29</v>
      </c>
      <c r="J272" s="11">
        <f>RecetteTransport2[[#All],[Fibres TC NOK]]</f>
        <v>2</v>
      </c>
      <c r="K272" s="50">
        <f>RecetteTransport2[[#All],[Valeur Critique]]</f>
        <v>0</v>
      </c>
      <c r="L272" s="50">
        <f>AD:AD</f>
        <v>3</v>
      </c>
      <c r="N272" t="s">
        <v>65</v>
      </c>
      <c r="P272">
        <f xml:space="preserve"> _xlfn.ISOWEEKNUM(RecetteTransport2[[#This Row],[Date validation Optique]])</f>
        <v>52</v>
      </c>
      <c r="Q272">
        <f>YEAR(RecetteTransport2[[#This Row],[Date validation Optique]])</f>
        <v>1900</v>
      </c>
      <c r="T272" s="50">
        <f>_xlfn.ISOWEEKNUM(RecetteTransport2[[#This Row],[Date Achevement  Mécanique]])</f>
        <v>52</v>
      </c>
      <c r="U272" s="50">
        <f>YEAR(RecetteTransport2[[#This Row],[Date Achevement  Mécanique]])</f>
        <v>1900</v>
      </c>
      <c r="V272" s="2"/>
      <c r="W272" s="50">
        <f>_xlfn.ISOWEEKNUM(RecetteTransport2[[#This Row],[Date de mesure]])</f>
        <v>52</v>
      </c>
      <c r="X272" s="11">
        <f>YEAR(RecetteTransport2[[#This Row],[Date de mesure]])</f>
        <v>1900</v>
      </c>
      <c r="Y272" s="2">
        <v>44223</v>
      </c>
      <c r="Z272" s="50">
        <f>_xlfn.ISOWEEKNUM(RecetteTransport2[[#This Row],[Date envoie dossier mesure]])</f>
        <v>4</v>
      </c>
      <c r="AA272" s="50">
        <f>YEAR(RecetteTransport2[[#This Row],[Date envoie dossier mesure]])</f>
        <v>2021</v>
      </c>
      <c r="AB272" s="11">
        <v>2</v>
      </c>
      <c r="AC272" s="11">
        <v>0</v>
      </c>
      <c r="AD272" s="50">
        <v>3</v>
      </c>
      <c r="AE272" s="6" t="e">
        <f>RecetteTransport2[[#All],[Nb de reprises Optiques]]/#REF!</f>
        <v>#REF!</v>
      </c>
      <c r="AF272" s="6"/>
    </row>
    <row r="273" spans="1:32" x14ac:dyDescent="0.3">
      <c r="A273" t="s">
        <v>12</v>
      </c>
      <c r="B273" t="s">
        <v>225</v>
      </c>
      <c r="C273" t="s">
        <v>604</v>
      </c>
      <c r="D273" t="s">
        <v>548</v>
      </c>
      <c r="G273" s="11"/>
      <c r="H273" s="11"/>
      <c r="I273" s="11"/>
      <c r="J273" s="11">
        <f>RecetteTransport2[[#All],[Fibres TC NOK]]</f>
        <v>0</v>
      </c>
      <c r="K273" s="50">
        <f>RecetteTransport2[[#All],[Valeur Critique]]</f>
        <v>0</v>
      </c>
      <c r="L273" s="50">
        <f t="shared" ref="L273:L289" si="16">AD:AD</f>
        <v>0</v>
      </c>
      <c r="P273" s="11">
        <f xml:space="preserve"> _xlfn.ISOWEEKNUM(RecetteTransport2[[#This Row],[Date validation Optique]])</f>
        <v>52</v>
      </c>
      <c r="Q273" s="11">
        <f>YEAR(RecetteTransport2[[#This Row],[Date validation Optique]])</f>
        <v>1900</v>
      </c>
      <c r="S273" s="47" t="e">
        <f>#REF!+10</f>
        <v>#REF!</v>
      </c>
      <c r="T273" s="50" t="e">
        <f>_xlfn.ISOWEEKNUM(RecetteTransport2[[#This Row],[Date Achevement  Mécanique]])</f>
        <v>#REF!</v>
      </c>
      <c r="U273" s="50" t="e">
        <f>YEAR(RecetteTransport2[[#This Row],[Date Achevement  Mécanique]])</f>
        <v>#REF!</v>
      </c>
      <c r="V273" s="47"/>
      <c r="W273" s="50">
        <f>_xlfn.ISOWEEKNUM(RecetteTransport2[[#This Row],[Date de mesure]])</f>
        <v>52</v>
      </c>
      <c r="X273" s="11">
        <f>YEAR(RecetteTransport2[[#This Row],[Date de mesure]])</f>
        <v>1900</v>
      </c>
      <c r="Y273" s="47"/>
      <c r="Z273" s="50">
        <f>_xlfn.ISOWEEKNUM(RecetteTransport2[[#This Row],[Date envoie dossier mesure]])</f>
        <v>52</v>
      </c>
      <c r="AA273" s="50">
        <f>YEAR(RecetteTransport2[[#This Row],[Date envoie dossier mesure]])</f>
        <v>1900</v>
      </c>
      <c r="AB273" s="11"/>
      <c r="AC273" s="11"/>
      <c r="AE273" s="6" t="e">
        <f>RecetteTransport2[[#All],[Nb de reprises Optiques]]/#REF!</f>
        <v>#REF!</v>
      </c>
      <c r="AF273" s="6"/>
    </row>
    <row r="274" spans="1:32" x14ac:dyDescent="0.3">
      <c r="A274" t="s">
        <v>12</v>
      </c>
      <c r="B274" t="s">
        <v>225</v>
      </c>
      <c r="C274" t="s">
        <v>604</v>
      </c>
      <c r="D274" t="s">
        <v>549</v>
      </c>
      <c r="G274" s="11"/>
      <c r="H274" s="11"/>
      <c r="I274" s="11"/>
      <c r="J274" s="11">
        <f>RecetteTransport2[[#All],[Fibres TC NOK]]</f>
        <v>0</v>
      </c>
      <c r="K274" s="50">
        <f>RecetteTransport2[[#All],[Valeur Critique]]</f>
        <v>0</v>
      </c>
      <c r="L274" s="50">
        <f t="shared" si="16"/>
        <v>0</v>
      </c>
      <c r="P274" s="11">
        <f xml:space="preserve"> _xlfn.ISOWEEKNUM(RecetteTransport2[[#This Row],[Date validation Optique]])</f>
        <v>52</v>
      </c>
      <c r="Q274" s="11">
        <f>YEAR(RecetteTransport2[[#This Row],[Date validation Optique]])</f>
        <v>1900</v>
      </c>
      <c r="S274" s="47" t="e">
        <f>#REF!+10</f>
        <v>#REF!</v>
      </c>
      <c r="T274" s="50" t="e">
        <f>_xlfn.ISOWEEKNUM(RecetteTransport2[[#This Row],[Date Achevement  Mécanique]])</f>
        <v>#REF!</v>
      </c>
      <c r="U274" s="50" t="e">
        <f>YEAR(RecetteTransport2[[#This Row],[Date Achevement  Mécanique]])</f>
        <v>#REF!</v>
      </c>
      <c r="V274" s="47"/>
      <c r="W274" s="50">
        <f>_xlfn.ISOWEEKNUM(RecetteTransport2[[#This Row],[Date de mesure]])</f>
        <v>52</v>
      </c>
      <c r="X274" s="11">
        <f>YEAR(RecetteTransport2[[#This Row],[Date de mesure]])</f>
        <v>1900</v>
      </c>
      <c r="Y274" s="47"/>
      <c r="Z274" s="50">
        <f>_xlfn.ISOWEEKNUM(RecetteTransport2[[#This Row],[Date envoie dossier mesure]])</f>
        <v>52</v>
      </c>
      <c r="AA274" s="50">
        <f>YEAR(RecetteTransport2[[#This Row],[Date envoie dossier mesure]])</f>
        <v>1900</v>
      </c>
      <c r="AB274" s="11"/>
      <c r="AC274" s="11"/>
      <c r="AE274" s="6" t="e">
        <f>RecetteTransport2[[#All],[Nb de reprises Optiques]]/#REF!</f>
        <v>#REF!</v>
      </c>
      <c r="AF274" s="6"/>
    </row>
    <row r="275" spans="1:32" x14ac:dyDescent="0.3">
      <c r="A275" t="s">
        <v>12</v>
      </c>
      <c r="B275" t="s">
        <v>225</v>
      </c>
      <c r="C275" t="s">
        <v>604</v>
      </c>
      <c r="D275" t="s">
        <v>550</v>
      </c>
      <c r="G275" s="11"/>
      <c r="H275" s="11"/>
      <c r="I275" s="11"/>
      <c r="J275" s="11">
        <f>RecetteTransport2[[#All],[Fibres TC NOK]]</f>
        <v>0</v>
      </c>
      <c r="K275" s="50">
        <f>RecetteTransport2[[#All],[Valeur Critique]]</f>
        <v>0</v>
      </c>
      <c r="L275" s="50">
        <f t="shared" si="16"/>
        <v>0</v>
      </c>
      <c r="P275" s="11">
        <f xml:space="preserve"> _xlfn.ISOWEEKNUM(RecetteTransport2[[#This Row],[Date validation Optique]])</f>
        <v>52</v>
      </c>
      <c r="Q275" s="11">
        <f>YEAR(RecetteTransport2[[#This Row],[Date validation Optique]])</f>
        <v>1900</v>
      </c>
      <c r="S275" s="47" t="e">
        <f>#REF!+10</f>
        <v>#REF!</v>
      </c>
      <c r="T275" s="50" t="e">
        <f>_xlfn.ISOWEEKNUM(RecetteTransport2[[#This Row],[Date Achevement  Mécanique]])</f>
        <v>#REF!</v>
      </c>
      <c r="U275" s="50" t="e">
        <f>YEAR(RecetteTransport2[[#This Row],[Date Achevement  Mécanique]])</f>
        <v>#REF!</v>
      </c>
      <c r="V275" s="47"/>
      <c r="W275" s="50">
        <f>_xlfn.ISOWEEKNUM(RecetteTransport2[[#This Row],[Date de mesure]])</f>
        <v>52</v>
      </c>
      <c r="X275" s="11">
        <f>YEAR(RecetteTransport2[[#This Row],[Date de mesure]])</f>
        <v>1900</v>
      </c>
      <c r="Y275" s="47"/>
      <c r="Z275" s="50">
        <f>_xlfn.ISOWEEKNUM(RecetteTransport2[[#This Row],[Date envoie dossier mesure]])</f>
        <v>52</v>
      </c>
      <c r="AA275" s="50">
        <f>YEAR(RecetteTransport2[[#This Row],[Date envoie dossier mesure]])</f>
        <v>1900</v>
      </c>
      <c r="AB275" s="11"/>
      <c r="AC275" s="11"/>
      <c r="AE275" s="6" t="e">
        <f>RecetteTransport2[[#All],[Nb de reprises Optiques]]/#REF!</f>
        <v>#REF!</v>
      </c>
      <c r="AF275" s="6"/>
    </row>
    <row r="276" spans="1:32" x14ac:dyDescent="0.3">
      <c r="A276" t="s">
        <v>12</v>
      </c>
      <c r="B276" t="s">
        <v>225</v>
      </c>
      <c r="C276" t="s">
        <v>604</v>
      </c>
      <c r="D276" t="s">
        <v>551</v>
      </c>
      <c r="G276" s="11"/>
      <c r="H276" s="11"/>
      <c r="I276" s="11"/>
      <c r="J276" s="11">
        <f>RecetteTransport2[[#All],[Fibres TC NOK]]</f>
        <v>0</v>
      </c>
      <c r="K276" s="50">
        <f>RecetteTransport2[[#All],[Valeur Critique]]</f>
        <v>0</v>
      </c>
      <c r="L276" s="50">
        <f t="shared" si="16"/>
        <v>0</v>
      </c>
      <c r="P276" s="11">
        <f xml:space="preserve"> _xlfn.ISOWEEKNUM(RecetteTransport2[[#This Row],[Date validation Optique]])</f>
        <v>52</v>
      </c>
      <c r="Q276" s="11">
        <f>YEAR(RecetteTransport2[[#This Row],[Date validation Optique]])</f>
        <v>1900</v>
      </c>
      <c r="S276" s="47" t="e">
        <f>#REF!+10</f>
        <v>#REF!</v>
      </c>
      <c r="T276" s="50" t="e">
        <f>_xlfn.ISOWEEKNUM(RecetteTransport2[[#This Row],[Date Achevement  Mécanique]])</f>
        <v>#REF!</v>
      </c>
      <c r="U276" s="50" t="e">
        <f>YEAR(RecetteTransport2[[#This Row],[Date Achevement  Mécanique]])</f>
        <v>#REF!</v>
      </c>
      <c r="V276" s="47"/>
      <c r="W276" s="50">
        <f>_xlfn.ISOWEEKNUM(RecetteTransport2[[#This Row],[Date de mesure]])</f>
        <v>52</v>
      </c>
      <c r="X276" s="11">
        <f>YEAR(RecetteTransport2[[#This Row],[Date de mesure]])</f>
        <v>1900</v>
      </c>
      <c r="Y276" s="47"/>
      <c r="Z276" s="50">
        <f>_xlfn.ISOWEEKNUM(RecetteTransport2[[#This Row],[Date envoie dossier mesure]])</f>
        <v>52</v>
      </c>
      <c r="AA276" s="50">
        <f>YEAR(RecetteTransport2[[#This Row],[Date envoie dossier mesure]])</f>
        <v>1900</v>
      </c>
      <c r="AB276" s="11"/>
      <c r="AC276" s="11"/>
      <c r="AE276" s="6" t="e">
        <f>RecetteTransport2[[#All],[Nb de reprises Optiques]]/#REF!</f>
        <v>#REF!</v>
      </c>
      <c r="AF276" s="6"/>
    </row>
    <row r="277" spans="1:32" x14ac:dyDescent="0.3">
      <c r="A277" t="s">
        <v>12</v>
      </c>
      <c r="D277" t="s">
        <v>552</v>
      </c>
      <c r="G277" s="11"/>
      <c r="H277" s="11"/>
      <c r="I277" s="11"/>
      <c r="J277" s="11">
        <f>RecetteTransport2[[#All],[Fibres TC NOK]]</f>
        <v>0</v>
      </c>
      <c r="K277" s="50">
        <f>RecetteTransport2[[#All],[Valeur Critique]]</f>
        <v>0</v>
      </c>
      <c r="L277" s="50">
        <f t="shared" si="16"/>
        <v>0</v>
      </c>
      <c r="P277" s="11">
        <f xml:space="preserve"> _xlfn.ISOWEEKNUM(RecetteTransport2[[#This Row],[Date validation Optique]])</f>
        <v>52</v>
      </c>
      <c r="Q277" s="11">
        <f>YEAR(RecetteTransport2[[#This Row],[Date validation Optique]])</f>
        <v>1900</v>
      </c>
      <c r="S277" s="47" t="e">
        <f>#REF!+10</f>
        <v>#REF!</v>
      </c>
      <c r="T277" s="50" t="e">
        <f>_xlfn.ISOWEEKNUM(RecetteTransport2[[#This Row],[Date Achevement  Mécanique]])</f>
        <v>#REF!</v>
      </c>
      <c r="U277" s="50" t="e">
        <f>YEAR(RecetteTransport2[[#This Row],[Date Achevement  Mécanique]])</f>
        <v>#REF!</v>
      </c>
      <c r="V277" s="47"/>
      <c r="W277" s="50">
        <f>_xlfn.ISOWEEKNUM(RecetteTransport2[[#This Row],[Date de mesure]])</f>
        <v>52</v>
      </c>
      <c r="X277" s="11">
        <f>YEAR(RecetteTransport2[[#This Row],[Date de mesure]])</f>
        <v>1900</v>
      </c>
      <c r="Y277" s="47"/>
      <c r="Z277" s="50">
        <f>_xlfn.ISOWEEKNUM(RecetteTransport2[[#This Row],[Date envoie dossier mesure]])</f>
        <v>52</v>
      </c>
      <c r="AA277" s="50">
        <f>YEAR(RecetteTransport2[[#This Row],[Date envoie dossier mesure]])</f>
        <v>1900</v>
      </c>
      <c r="AB277" s="11"/>
      <c r="AC277" s="11"/>
      <c r="AE277" s="6" t="e">
        <f>RecetteTransport2[[#All],[Nb de reprises Optiques]]/#REF!</f>
        <v>#REF!</v>
      </c>
      <c r="AF277" s="6"/>
    </row>
    <row r="278" spans="1:32" x14ac:dyDescent="0.3">
      <c r="A278" t="s">
        <v>12</v>
      </c>
      <c r="D278" t="s">
        <v>553</v>
      </c>
      <c r="G278" s="11"/>
      <c r="H278" s="11"/>
      <c r="I278" s="11"/>
      <c r="J278" s="11">
        <f>RecetteTransport2[[#All],[Fibres TC NOK]]</f>
        <v>0</v>
      </c>
      <c r="K278" s="50">
        <f>RecetteTransport2[[#All],[Valeur Critique]]</f>
        <v>0</v>
      </c>
      <c r="L278" s="50">
        <f t="shared" si="16"/>
        <v>0</v>
      </c>
      <c r="P278" s="11">
        <f xml:space="preserve"> _xlfn.ISOWEEKNUM(RecetteTransport2[[#This Row],[Date validation Optique]])</f>
        <v>52</v>
      </c>
      <c r="Q278" s="11">
        <f>YEAR(RecetteTransport2[[#This Row],[Date validation Optique]])</f>
        <v>1900</v>
      </c>
      <c r="S278" s="47" t="e">
        <f>#REF!+10</f>
        <v>#REF!</v>
      </c>
      <c r="T278" s="50" t="e">
        <f>_xlfn.ISOWEEKNUM(RecetteTransport2[[#This Row],[Date Achevement  Mécanique]])</f>
        <v>#REF!</v>
      </c>
      <c r="U278" s="50" t="e">
        <f>YEAR(RecetteTransport2[[#This Row],[Date Achevement  Mécanique]])</f>
        <v>#REF!</v>
      </c>
      <c r="V278" s="47"/>
      <c r="W278" s="50">
        <f>_xlfn.ISOWEEKNUM(RecetteTransport2[[#This Row],[Date de mesure]])</f>
        <v>52</v>
      </c>
      <c r="X278" s="11">
        <f>YEAR(RecetteTransport2[[#This Row],[Date de mesure]])</f>
        <v>1900</v>
      </c>
      <c r="Y278" s="47"/>
      <c r="Z278" s="50">
        <f>_xlfn.ISOWEEKNUM(RecetteTransport2[[#This Row],[Date envoie dossier mesure]])</f>
        <v>52</v>
      </c>
      <c r="AA278" s="50">
        <f>YEAR(RecetteTransport2[[#This Row],[Date envoie dossier mesure]])</f>
        <v>1900</v>
      </c>
      <c r="AB278" s="11"/>
      <c r="AC278" s="11"/>
      <c r="AE278" s="6" t="e">
        <f>RecetteTransport2[[#All],[Nb de reprises Optiques]]/#REF!</f>
        <v>#REF!</v>
      </c>
      <c r="AF278" s="6"/>
    </row>
    <row r="279" spans="1:32" x14ac:dyDescent="0.3">
      <c r="A279" t="s">
        <v>12</v>
      </c>
      <c r="D279" t="s">
        <v>162</v>
      </c>
      <c r="G279" s="11"/>
      <c r="H279" s="11"/>
      <c r="I279" s="11"/>
      <c r="J279" s="11">
        <f>RecetteTransport2[[#All],[Fibres TC NOK]]</f>
        <v>0</v>
      </c>
      <c r="K279" s="50">
        <f>RecetteTransport2[[#All],[Valeur Critique]]</f>
        <v>0</v>
      </c>
      <c r="L279" s="50">
        <f t="shared" si="16"/>
        <v>0</v>
      </c>
      <c r="P279" s="11">
        <f xml:space="preserve"> _xlfn.ISOWEEKNUM(RecetteTransport2[[#This Row],[Date validation Optique]])</f>
        <v>52</v>
      </c>
      <c r="Q279" s="11">
        <f>YEAR(RecetteTransport2[[#This Row],[Date validation Optique]])</f>
        <v>1900</v>
      </c>
      <c r="S279" s="47" t="e">
        <f>#REF!+10</f>
        <v>#REF!</v>
      </c>
      <c r="T279" s="50" t="e">
        <f>_xlfn.ISOWEEKNUM(RecetteTransport2[[#This Row],[Date Achevement  Mécanique]])</f>
        <v>#REF!</v>
      </c>
      <c r="U279" s="50" t="e">
        <f>YEAR(RecetteTransport2[[#This Row],[Date Achevement  Mécanique]])</f>
        <v>#REF!</v>
      </c>
      <c r="V279" s="47"/>
      <c r="W279" s="50">
        <f>_xlfn.ISOWEEKNUM(RecetteTransport2[[#This Row],[Date de mesure]])</f>
        <v>52</v>
      </c>
      <c r="X279" s="11">
        <f>YEAR(RecetteTransport2[[#This Row],[Date de mesure]])</f>
        <v>1900</v>
      </c>
      <c r="Y279" s="47"/>
      <c r="Z279" s="50">
        <f>_xlfn.ISOWEEKNUM(RecetteTransport2[[#This Row],[Date envoie dossier mesure]])</f>
        <v>52</v>
      </c>
      <c r="AA279" s="50">
        <f>YEAR(RecetteTransport2[[#This Row],[Date envoie dossier mesure]])</f>
        <v>1900</v>
      </c>
      <c r="AB279" s="11"/>
      <c r="AC279" s="11"/>
      <c r="AE279" s="6" t="e">
        <f>RecetteTransport2[[#All],[Nb de reprises Optiques]]/#REF!</f>
        <v>#REF!</v>
      </c>
      <c r="AF279" s="6"/>
    </row>
    <row r="280" spans="1:32" x14ac:dyDescent="0.3">
      <c r="A280" t="s">
        <v>12</v>
      </c>
      <c r="D280" t="s">
        <v>554</v>
      </c>
      <c r="G280" s="11"/>
      <c r="H280" s="11"/>
      <c r="I280" s="11"/>
      <c r="J280" s="11">
        <f>RecetteTransport2[[#All],[Fibres TC NOK]]</f>
        <v>0</v>
      </c>
      <c r="K280" s="50">
        <f>RecetteTransport2[[#All],[Valeur Critique]]</f>
        <v>0</v>
      </c>
      <c r="L280" s="50">
        <f t="shared" si="16"/>
        <v>0</v>
      </c>
      <c r="P280" s="11">
        <f xml:space="preserve"> _xlfn.ISOWEEKNUM(RecetteTransport2[[#This Row],[Date validation Optique]])</f>
        <v>52</v>
      </c>
      <c r="Q280" s="11">
        <f>YEAR(RecetteTransport2[[#This Row],[Date validation Optique]])</f>
        <v>1900</v>
      </c>
      <c r="S280" s="47" t="e">
        <f>#REF!+10</f>
        <v>#REF!</v>
      </c>
      <c r="T280" s="50" t="e">
        <f>_xlfn.ISOWEEKNUM(RecetteTransport2[[#This Row],[Date Achevement  Mécanique]])</f>
        <v>#REF!</v>
      </c>
      <c r="U280" s="50" t="e">
        <f>YEAR(RecetteTransport2[[#This Row],[Date Achevement  Mécanique]])</f>
        <v>#REF!</v>
      </c>
      <c r="V280" s="47"/>
      <c r="W280" s="50">
        <f>_xlfn.ISOWEEKNUM(RecetteTransport2[[#This Row],[Date de mesure]])</f>
        <v>52</v>
      </c>
      <c r="X280" s="11">
        <f>YEAR(RecetteTransport2[[#This Row],[Date de mesure]])</f>
        <v>1900</v>
      </c>
      <c r="Y280" s="47"/>
      <c r="Z280" s="50">
        <f>_xlfn.ISOWEEKNUM(RecetteTransport2[[#This Row],[Date envoie dossier mesure]])</f>
        <v>52</v>
      </c>
      <c r="AA280" s="50">
        <f>YEAR(RecetteTransport2[[#This Row],[Date envoie dossier mesure]])</f>
        <v>1900</v>
      </c>
      <c r="AB280" s="11"/>
      <c r="AC280" s="11"/>
      <c r="AE280" s="6" t="e">
        <f>RecetteTransport2[[#All],[Nb de reprises Optiques]]/#REF!</f>
        <v>#REF!</v>
      </c>
      <c r="AF280" s="6"/>
    </row>
    <row r="281" spans="1:32" x14ac:dyDescent="0.3">
      <c r="A281" t="s">
        <v>12</v>
      </c>
      <c r="D281" t="s">
        <v>163</v>
      </c>
      <c r="G281" s="11"/>
      <c r="H281" s="11"/>
      <c r="I281" s="11"/>
      <c r="J281" s="11">
        <f>RecetteTransport2[[#All],[Fibres TC NOK]]</f>
        <v>0</v>
      </c>
      <c r="K281" s="50">
        <f>RecetteTransport2[[#All],[Valeur Critique]]</f>
        <v>0</v>
      </c>
      <c r="L281" s="50">
        <f t="shared" si="16"/>
        <v>0</v>
      </c>
      <c r="P281" s="11">
        <f xml:space="preserve"> _xlfn.ISOWEEKNUM(RecetteTransport2[[#This Row],[Date validation Optique]])</f>
        <v>52</v>
      </c>
      <c r="Q281" s="11">
        <f>YEAR(RecetteTransport2[[#This Row],[Date validation Optique]])</f>
        <v>1900</v>
      </c>
      <c r="S281" s="47" t="e">
        <f>#REF!+10</f>
        <v>#REF!</v>
      </c>
      <c r="T281" s="50" t="e">
        <f>_xlfn.ISOWEEKNUM(RecetteTransport2[[#This Row],[Date Achevement  Mécanique]])</f>
        <v>#REF!</v>
      </c>
      <c r="U281" s="50" t="e">
        <f>YEAR(RecetteTransport2[[#This Row],[Date Achevement  Mécanique]])</f>
        <v>#REF!</v>
      </c>
      <c r="V281" s="47"/>
      <c r="W281" s="50">
        <f>_xlfn.ISOWEEKNUM(RecetteTransport2[[#This Row],[Date de mesure]])</f>
        <v>52</v>
      </c>
      <c r="X281" s="11">
        <f>YEAR(RecetteTransport2[[#This Row],[Date de mesure]])</f>
        <v>1900</v>
      </c>
      <c r="Y281" s="47"/>
      <c r="Z281" s="50">
        <f>_xlfn.ISOWEEKNUM(RecetteTransport2[[#This Row],[Date envoie dossier mesure]])</f>
        <v>52</v>
      </c>
      <c r="AA281" s="50">
        <f>YEAR(RecetteTransport2[[#This Row],[Date envoie dossier mesure]])</f>
        <v>1900</v>
      </c>
      <c r="AB281" s="11"/>
      <c r="AC281" s="11"/>
      <c r="AE281" s="6" t="e">
        <f>RecetteTransport2[[#All],[Nb de reprises Optiques]]/#REF!</f>
        <v>#REF!</v>
      </c>
      <c r="AF281" s="6"/>
    </row>
    <row r="282" spans="1:32" x14ac:dyDescent="0.3">
      <c r="A282" t="s">
        <v>12</v>
      </c>
      <c r="D282" t="s">
        <v>174</v>
      </c>
      <c r="G282" s="11"/>
      <c r="H282" s="11"/>
      <c r="I282" s="11"/>
      <c r="J282" s="11">
        <f>RecetteTransport2[[#All],[Fibres TC NOK]]</f>
        <v>0</v>
      </c>
      <c r="K282" s="50">
        <f>RecetteTransport2[[#All],[Valeur Critique]]</f>
        <v>0</v>
      </c>
      <c r="L282" s="50">
        <f t="shared" si="16"/>
        <v>0</v>
      </c>
      <c r="P282" s="11">
        <f xml:space="preserve"> _xlfn.ISOWEEKNUM(RecetteTransport2[[#This Row],[Date validation Optique]])</f>
        <v>52</v>
      </c>
      <c r="Q282" s="11">
        <f>YEAR(RecetteTransport2[[#This Row],[Date validation Optique]])</f>
        <v>1900</v>
      </c>
      <c r="S282" s="47" t="e">
        <f>#REF!+10</f>
        <v>#REF!</v>
      </c>
      <c r="T282" s="50" t="e">
        <f>_xlfn.ISOWEEKNUM(RecetteTransport2[[#This Row],[Date Achevement  Mécanique]])</f>
        <v>#REF!</v>
      </c>
      <c r="U282" s="50" t="e">
        <f>YEAR(RecetteTransport2[[#This Row],[Date Achevement  Mécanique]])</f>
        <v>#REF!</v>
      </c>
      <c r="V282" s="47"/>
      <c r="W282" s="50">
        <f>_xlfn.ISOWEEKNUM(RecetteTransport2[[#This Row],[Date de mesure]])</f>
        <v>52</v>
      </c>
      <c r="X282" s="11">
        <f>YEAR(RecetteTransport2[[#This Row],[Date de mesure]])</f>
        <v>1900</v>
      </c>
      <c r="Y282" s="47"/>
      <c r="Z282" s="50">
        <f>_xlfn.ISOWEEKNUM(RecetteTransport2[[#This Row],[Date envoie dossier mesure]])</f>
        <v>52</v>
      </c>
      <c r="AA282" s="50">
        <f>YEAR(RecetteTransport2[[#This Row],[Date envoie dossier mesure]])</f>
        <v>1900</v>
      </c>
      <c r="AB282" s="11"/>
      <c r="AC282" s="11"/>
      <c r="AE282" s="6" t="e">
        <f>RecetteTransport2[[#All],[Nb de reprises Optiques]]/#REF!</f>
        <v>#REF!</v>
      </c>
      <c r="AF282" s="6"/>
    </row>
    <row r="283" spans="1:32" x14ac:dyDescent="0.3">
      <c r="A283" t="s">
        <v>12</v>
      </c>
      <c r="D283" t="s">
        <v>555</v>
      </c>
      <c r="G283" s="11"/>
      <c r="H283" s="11"/>
      <c r="I283" s="11"/>
      <c r="J283" s="11">
        <f>RecetteTransport2[[#All],[Fibres TC NOK]]</f>
        <v>0</v>
      </c>
      <c r="K283" s="50">
        <f>RecetteTransport2[[#All],[Valeur Critique]]</f>
        <v>0</v>
      </c>
      <c r="L283" s="50">
        <f t="shared" si="16"/>
        <v>0</v>
      </c>
      <c r="P283" s="11">
        <f xml:space="preserve"> _xlfn.ISOWEEKNUM(RecetteTransport2[[#This Row],[Date validation Optique]])</f>
        <v>52</v>
      </c>
      <c r="Q283" s="11">
        <f>YEAR(RecetteTransport2[[#This Row],[Date validation Optique]])</f>
        <v>1900</v>
      </c>
      <c r="S283" s="47" t="e">
        <f>#REF!+10</f>
        <v>#REF!</v>
      </c>
      <c r="T283" s="50" t="e">
        <f>_xlfn.ISOWEEKNUM(RecetteTransport2[[#This Row],[Date Achevement  Mécanique]])</f>
        <v>#REF!</v>
      </c>
      <c r="U283" s="50" t="e">
        <f>YEAR(RecetteTransport2[[#This Row],[Date Achevement  Mécanique]])</f>
        <v>#REF!</v>
      </c>
      <c r="V283" s="47"/>
      <c r="W283" s="50">
        <f>_xlfn.ISOWEEKNUM(RecetteTransport2[[#This Row],[Date de mesure]])</f>
        <v>52</v>
      </c>
      <c r="X283" s="11">
        <f>YEAR(RecetteTransport2[[#This Row],[Date de mesure]])</f>
        <v>1900</v>
      </c>
      <c r="Y283" s="47"/>
      <c r="Z283" s="50">
        <f>_xlfn.ISOWEEKNUM(RecetteTransport2[[#This Row],[Date envoie dossier mesure]])</f>
        <v>52</v>
      </c>
      <c r="AA283" s="50">
        <f>YEAR(RecetteTransport2[[#This Row],[Date envoie dossier mesure]])</f>
        <v>1900</v>
      </c>
      <c r="AB283" s="11"/>
      <c r="AC283" s="11"/>
      <c r="AE283" s="6" t="e">
        <f>RecetteTransport2[[#All],[Nb de reprises Optiques]]/#REF!</f>
        <v>#REF!</v>
      </c>
      <c r="AF283" s="6"/>
    </row>
    <row r="284" spans="1:32" x14ac:dyDescent="0.3">
      <c r="A284" t="s">
        <v>12</v>
      </c>
      <c r="D284" t="s">
        <v>556</v>
      </c>
      <c r="G284" s="11"/>
      <c r="H284" s="11"/>
      <c r="I284" s="11"/>
      <c r="J284" s="11">
        <f>RecetteTransport2[[#All],[Fibres TC NOK]]</f>
        <v>0</v>
      </c>
      <c r="K284" s="50">
        <f>RecetteTransport2[[#All],[Valeur Critique]]</f>
        <v>0</v>
      </c>
      <c r="L284" s="50">
        <f t="shared" si="16"/>
        <v>0</v>
      </c>
      <c r="P284" s="11">
        <f xml:space="preserve"> _xlfn.ISOWEEKNUM(RecetteTransport2[[#This Row],[Date validation Optique]])</f>
        <v>52</v>
      </c>
      <c r="Q284" s="11">
        <f>YEAR(RecetteTransport2[[#This Row],[Date validation Optique]])</f>
        <v>1900</v>
      </c>
      <c r="S284" s="47" t="e">
        <f>#REF!+10</f>
        <v>#REF!</v>
      </c>
      <c r="T284" s="50" t="e">
        <f>_xlfn.ISOWEEKNUM(RecetteTransport2[[#This Row],[Date Achevement  Mécanique]])</f>
        <v>#REF!</v>
      </c>
      <c r="U284" s="50" t="e">
        <f>YEAR(RecetteTransport2[[#This Row],[Date Achevement  Mécanique]])</f>
        <v>#REF!</v>
      </c>
      <c r="V284" s="47"/>
      <c r="W284" s="50">
        <f>_xlfn.ISOWEEKNUM(RecetteTransport2[[#This Row],[Date de mesure]])</f>
        <v>52</v>
      </c>
      <c r="X284" s="11">
        <f>YEAR(RecetteTransport2[[#This Row],[Date de mesure]])</f>
        <v>1900</v>
      </c>
      <c r="Y284" s="47"/>
      <c r="Z284" s="50">
        <f>_xlfn.ISOWEEKNUM(RecetteTransport2[[#This Row],[Date envoie dossier mesure]])</f>
        <v>52</v>
      </c>
      <c r="AA284" s="50">
        <f>YEAR(RecetteTransport2[[#This Row],[Date envoie dossier mesure]])</f>
        <v>1900</v>
      </c>
      <c r="AB284" s="11"/>
      <c r="AC284" s="11"/>
      <c r="AE284" s="6" t="e">
        <f>RecetteTransport2[[#All],[Nb de reprises Optiques]]/#REF!</f>
        <v>#REF!</v>
      </c>
      <c r="AF284" s="6"/>
    </row>
    <row r="285" spans="1:32" x14ac:dyDescent="0.3">
      <c r="A285" t="s">
        <v>12</v>
      </c>
      <c r="D285" t="s">
        <v>557</v>
      </c>
      <c r="G285" s="11"/>
      <c r="H285" s="11"/>
      <c r="I285" s="11"/>
      <c r="J285" s="11">
        <f>RecetteTransport2[[#All],[Fibres TC NOK]]</f>
        <v>0</v>
      </c>
      <c r="K285" s="50">
        <f>RecetteTransport2[[#All],[Valeur Critique]]</f>
        <v>0</v>
      </c>
      <c r="L285" s="50">
        <f t="shared" si="16"/>
        <v>0</v>
      </c>
      <c r="P285" s="11">
        <f xml:space="preserve"> _xlfn.ISOWEEKNUM(RecetteTransport2[[#This Row],[Date validation Optique]])</f>
        <v>52</v>
      </c>
      <c r="Q285" s="11">
        <f>YEAR(RecetteTransport2[[#This Row],[Date validation Optique]])</f>
        <v>1900</v>
      </c>
      <c r="S285" s="47" t="e">
        <f>#REF!+10</f>
        <v>#REF!</v>
      </c>
      <c r="T285" s="50" t="e">
        <f>_xlfn.ISOWEEKNUM(RecetteTransport2[[#This Row],[Date Achevement  Mécanique]])</f>
        <v>#REF!</v>
      </c>
      <c r="U285" s="50" t="e">
        <f>YEAR(RecetteTransport2[[#This Row],[Date Achevement  Mécanique]])</f>
        <v>#REF!</v>
      </c>
      <c r="V285" s="47"/>
      <c r="W285" s="50">
        <f>_xlfn.ISOWEEKNUM(RecetteTransport2[[#This Row],[Date de mesure]])</f>
        <v>52</v>
      </c>
      <c r="X285" s="11">
        <f>YEAR(RecetteTransport2[[#This Row],[Date de mesure]])</f>
        <v>1900</v>
      </c>
      <c r="Y285" s="47"/>
      <c r="Z285" s="50">
        <f>_xlfn.ISOWEEKNUM(RecetteTransport2[[#This Row],[Date envoie dossier mesure]])</f>
        <v>52</v>
      </c>
      <c r="AA285" s="50">
        <f>YEAR(RecetteTransport2[[#This Row],[Date envoie dossier mesure]])</f>
        <v>1900</v>
      </c>
      <c r="AB285" s="11"/>
      <c r="AC285" s="11"/>
      <c r="AE285" s="6" t="e">
        <f>RecetteTransport2[[#All],[Nb de reprises Optiques]]/#REF!</f>
        <v>#REF!</v>
      </c>
      <c r="AF285" s="6"/>
    </row>
    <row r="286" spans="1:32" x14ac:dyDescent="0.3">
      <c r="A286" t="s">
        <v>12</v>
      </c>
      <c r="D286" t="s">
        <v>155</v>
      </c>
      <c r="G286" s="11"/>
      <c r="H286" s="11"/>
      <c r="I286" s="11"/>
      <c r="J286" s="11">
        <f>RecetteTransport2[[#All],[Fibres TC NOK]]</f>
        <v>0</v>
      </c>
      <c r="K286" s="50">
        <f>RecetteTransport2[[#All],[Valeur Critique]]</f>
        <v>0</v>
      </c>
      <c r="L286" s="50">
        <f t="shared" si="16"/>
        <v>0</v>
      </c>
      <c r="P286" s="11">
        <f xml:space="preserve"> _xlfn.ISOWEEKNUM(RecetteTransport2[[#This Row],[Date validation Optique]])</f>
        <v>52</v>
      </c>
      <c r="Q286" s="11">
        <f>YEAR(RecetteTransport2[[#This Row],[Date validation Optique]])</f>
        <v>1900</v>
      </c>
      <c r="S286" s="47" t="e">
        <f>#REF!+10</f>
        <v>#REF!</v>
      </c>
      <c r="T286" s="50" t="e">
        <f>_xlfn.ISOWEEKNUM(RecetteTransport2[[#This Row],[Date Achevement  Mécanique]])</f>
        <v>#REF!</v>
      </c>
      <c r="U286" s="50" t="e">
        <f>YEAR(RecetteTransport2[[#This Row],[Date Achevement  Mécanique]])</f>
        <v>#REF!</v>
      </c>
      <c r="V286" s="47"/>
      <c r="W286" s="50">
        <f>_xlfn.ISOWEEKNUM(RecetteTransport2[[#This Row],[Date de mesure]])</f>
        <v>52</v>
      </c>
      <c r="X286" s="11">
        <f>YEAR(RecetteTransport2[[#This Row],[Date de mesure]])</f>
        <v>1900</v>
      </c>
      <c r="Y286" s="47"/>
      <c r="Z286" s="50">
        <f>_xlfn.ISOWEEKNUM(RecetteTransport2[[#This Row],[Date envoie dossier mesure]])</f>
        <v>52</v>
      </c>
      <c r="AA286" s="50">
        <f>YEAR(RecetteTransport2[[#This Row],[Date envoie dossier mesure]])</f>
        <v>1900</v>
      </c>
      <c r="AB286" s="11"/>
      <c r="AC286" s="11"/>
      <c r="AE286" s="6" t="e">
        <f>RecetteTransport2[[#All],[Nb de reprises Optiques]]/#REF!</f>
        <v>#REF!</v>
      </c>
      <c r="AF286" s="6"/>
    </row>
    <row r="287" spans="1:32" x14ac:dyDescent="0.3">
      <c r="A287" t="s">
        <v>12</v>
      </c>
      <c r="D287" t="s">
        <v>558</v>
      </c>
      <c r="G287" s="11"/>
      <c r="H287" s="11"/>
      <c r="I287" s="11"/>
      <c r="J287" s="11">
        <f>RecetteTransport2[[#All],[Fibres TC NOK]]</f>
        <v>0</v>
      </c>
      <c r="K287" s="50">
        <f>RecetteTransport2[[#All],[Valeur Critique]]</f>
        <v>0</v>
      </c>
      <c r="L287" s="50">
        <f t="shared" si="16"/>
        <v>0</v>
      </c>
      <c r="P287" s="11">
        <f xml:space="preserve"> _xlfn.ISOWEEKNUM(RecetteTransport2[[#This Row],[Date validation Optique]])</f>
        <v>52</v>
      </c>
      <c r="Q287" s="11">
        <f>YEAR(RecetteTransport2[[#This Row],[Date validation Optique]])</f>
        <v>1900</v>
      </c>
      <c r="S287" s="47" t="e">
        <f>#REF!+10</f>
        <v>#REF!</v>
      </c>
      <c r="T287" s="50" t="e">
        <f>_xlfn.ISOWEEKNUM(RecetteTransport2[[#This Row],[Date Achevement  Mécanique]])</f>
        <v>#REF!</v>
      </c>
      <c r="U287" s="50" t="e">
        <f>YEAR(RecetteTransport2[[#This Row],[Date Achevement  Mécanique]])</f>
        <v>#REF!</v>
      </c>
      <c r="V287" s="47"/>
      <c r="W287" s="50">
        <f>_xlfn.ISOWEEKNUM(RecetteTransport2[[#This Row],[Date de mesure]])</f>
        <v>52</v>
      </c>
      <c r="X287" s="11">
        <f>YEAR(RecetteTransport2[[#This Row],[Date de mesure]])</f>
        <v>1900</v>
      </c>
      <c r="Y287" s="47"/>
      <c r="Z287" s="50">
        <f>_xlfn.ISOWEEKNUM(RecetteTransport2[[#This Row],[Date envoie dossier mesure]])</f>
        <v>52</v>
      </c>
      <c r="AA287" s="50">
        <f>YEAR(RecetteTransport2[[#This Row],[Date envoie dossier mesure]])</f>
        <v>1900</v>
      </c>
      <c r="AB287" s="11"/>
      <c r="AC287" s="11"/>
      <c r="AE287" s="6" t="e">
        <f>RecetteTransport2[[#All],[Nb de reprises Optiques]]/#REF!</f>
        <v>#REF!</v>
      </c>
      <c r="AF287" s="6"/>
    </row>
    <row r="288" spans="1:32" x14ac:dyDescent="0.3">
      <c r="A288" t="s">
        <v>12</v>
      </c>
      <c r="D288" t="s">
        <v>559</v>
      </c>
      <c r="G288" s="11"/>
      <c r="H288" s="11"/>
      <c r="I288" s="11"/>
      <c r="J288" s="11">
        <f>RecetteTransport2[[#All],[Fibres TC NOK]]</f>
        <v>0</v>
      </c>
      <c r="K288" s="50">
        <f>RecetteTransport2[[#All],[Valeur Critique]]</f>
        <v>0</v>
      </c>
      <c r="L288" s="50">
        <f t="shared" si="16"/>
        <v>0</v>
      </c>
      <c r="P288" s="11">
        <f xml:space="preserve"> _xlfn.ISOWEEKNUM(RecetteTransport2[[#This Row],[Date validation Optique]])</f>
        <v>52</v>
      </c>
      <c r="Q288" s="11">
        <f>YEAR(RecetteTransport2[[#This Row],[Date validation Optique]])</f>
        <v>1900</v>
      </c>
      <c r="S288" s="47" t="e">
        <f>#REF!+10</f>
        <v>#REF!</v>
      </c>
      <c r="T288" s="50" t="e">
        <f>_xlfn.ISOWEEKNUM(RecetteTransport2[[#This Row],[Date Achevement  Mécanique]])</f>
        <v>#REF!</v>
      </c>
      <c r="U288" s="50" t="e">
        <f>YEAR(RecetteTransport2[[#This Row],[Date Achevement  Mécanique]])</f>
        <v>#REF!</v>
      </c>
      <c r="V288" s="47"/>
      <c r="W288" s="50">
        <f>_xlfn.ISOWEEKNUM(RecetteTransport2[[#This Row],[Date de mesure]])</f>
        <v>52</v>
      </c>
      <c r="X288" s="11">
        <f>YEAR(RecetteTransport2[[#This Row],[Date de mesure]])</f>
        <v>1900</v>
      </c>
      <c r="Y288" s="47"/>
      <c r="Z288" s="50">
        <f>_xlfn.ISOWEEKNUM(RecetteTransport2[[#This Row],[Date envoie dossier mesure]])</f>
        <v>52</v>
      </c>
      <c r="AA288" s="50">
        <f>YEAR(RecetteTransport2[[#This Row],[Date envoie dossier mesure]])</f>
        <v>1900</v>
      </c>
      <c r="AB288" s="11"/>
      <c r="AC288" s="11"/>
      <c r="AE288" s="6" t="e">
        <f>RecetteTransport2[[#All],[Nb de reprises Optiques]]/#REF!</f>
        <v>#REF!</v>
      </c>
      <c r="AF288" s="6"/>
    </row>
    <row r="289" spans="1:32" x14ac:dyDescent="0.3">
      <c r="A289" t="s">
        <v>12</v>
      </c>
      <c r="D289" t="s">
        <v>560</v>
      </c>
      <c r="G289" s="11"/>
      <c r="H289" s="11"/>
      <c r="I289" s="11"/>
      <c r="J289" s="11">
        <f>RecetteTransport2[[#All],[Fibres TC NOK]]</f>
        <v>0</v>
      </c>
      <c r="K289" s="50">
        <f>RecetteTransport2[[#All],[Valeur Critique]]</f>
        <v>0</v>
      </c>
      <c r="L289" s="50">
        <f t="shared" si="16"/>
        <v>0</v>
      </c>
      <c r="P289" s="11">
        <f xml:space="preserve"> _xlfn.ISOWEEKNUM(RecetteTransport2[[#This Row],[Date validation Optique]])</f>
        <v>52</v>
      </c>
      <c r="Q289" s="11">
        <f>YEAR(RecetteTransport2[[#This Row],[Date validation Optique]])</f>
        <v>1900</v>
      </c>
      <c r="S289" s="47" t="e">
        <f>#REF!+10</f>
        <v>#REF!</v>
      </c>
      <c r="T289" s="50" t="e">
        <f>_xlfn.ISOWEEKNUM(RecetteTransport2[[#This Row],[Date Achevement  Mécanique]])</f>
        <v>#REF!</v>
      </c>
      <c r="U289" s="50" t="e">
        <f>YEAR(RecetteTransport2[[#This Row],[Date Achevement  Mécanique]])</f>
        <v>#REF!</v>
      </c>
      <c r="V289" s="47"/>
      <c r="W289" s="50">
        <f>_xlfn.ISOWEEKNUM(RecetteTransport2[[#This Row],[Date de mesure]])</f>
        <v>52</v>
      </c>
      <c r="X289" s="11">
        <f>YEAR(RecetteTransport2[[#This Row],[Date de mesure]])</f>
        <v>1900</v>
      </c>
      <c r="Y289" s="47"/>
      <c r="Z289" s="50">
        <f>_xlfn.ISOWEEKNUM(RecetteTransport2[[#This Row],[Date envoie dossier mesure]])</f>
        <v>52</v>
      </c>
      <c r="AA289" s="50">
        <f>YEAR(RecetteTransport2[[#This Row],[Date envoie dossier mesure]])</f>
        <v>1900</v>
      </c>
      <c r="AB289" s="11"/>
      <c r="AC289" s="11"/>
      <c r="AE289" s="6" t="e">
        <f>RecetteTransport2[[#All],[Nb de reprises Optiques]]/#REF!</f>
        <v>#REF!</v>
      </c>
      <c r="AF289" s="6"/>
    </row>
    <row r="290" spans="1:32" hidden="1" x14ac:dyDescent="0.3">
      <c r="A290" t="s">
        <v>12</v>
      </c>
      <c r="B290" t="s">
        <v>20</v>
      </c>
      <c r="C290" t="s">
        <v>367</v>
      </c>
      <c r="D290" t="s">
        <v>368</v>
      </c>
      <c r="G290" s="11"/>
      <c r="H290" s="11" t="s">
        <v>29</v>
      </c>
      <c r="I290" s="11" t="s">
        <v>29</v>
      </c>
      <c r="J290" s="11">
        <f>RecetteTransport2[[#All],[Fibres TC NOK]]</f>
        <v>0</v>
      </c>
      <c r="K290" s="50">
        <f>RecetteTransport2[[#All],[Valeur Critique]]</f>
        <v>0</v>
      </c>
      <c r="L290" s="50">
        <f>AD:AD</f>
        <v>24</v>
      </c>
      <c r="N290" t="s">
        <v>65</v>
      </c>
      <c r="P290">
        <f xml:space="preserve"> _xlfn.ISOWEEKNUM(RecetteTransport2[[#This Row],[Date validation Optique]])</f>
        <v>52</v>
      </c>
      <c r="Q290">
        <f>YEAR(RecetteTransport2[[#This Row],[Date validation Optique]])</f>
        <v>1900</v>
      </c>
      <c r="T290" s="50">
        <f>_xlfn.ISOWEEKNUM(RecetteTransport2[[#This Row],[Date Achevement  Mécanique]])</f>
        <v>52</v>
      </c>
      <c r="U290" s="50">
        <f>YEAR(RecetteTransport2[[#This Row],[Date Achevement  Mécanique]])</f>
        <v>1900</v>
      </c>
      <c r="V290" s="2">
        <v>44254</v>
      </c>
      <c r="W290" s="50">
        <f>_xlfn.ISOWEEKNUM(RecetteTransport2[[#This Row],[Date de mesure]])</f>
        <v>8</v>
      </c>
      <c r="X290" s="11">
        <f>YEAR(RecetteTransport2[[#This Row],[Date de mesure]])</f>
        <v>2021</v>
      </c>
      <c r="Y290" s="2">
        <v>44263</v>
      </c>
      <c r="Z290" s="50">
        <f>_xlfn.ISOWEEKNUM(RecetteTransport2[[#This Row],[Date envoie dossier mesure]])</f>
        <v>10</v>
      </c>
      <c r="AA290" s="50">
        <f>YEAR(RecetteTransport2[[#This Row],[Date envoie dossier mesure]])</f>
        <v>2021</v>
      </c>
      <c r="AB290" s="11">
        <v>0</v>
      </c>
      <c r="AC290" s="11">
        <v>0</v>
      </c>
      <c r="AD290" s="50">
        <v>24</v>
      </c>
      <c r="AE290" s="6" t="e">
        <f>RecetteTransport2[[#All],[Nb de reprises Optiques]]/#REF!</f>
        <v>#REF!</v>
      </c>
      <c r="AF290" s="6"/>
    </row>
    <row r="291" spans="1:32" hidden="1" x14ac:dyDescent="0.3">
      <c r="A291" t="s">
        <v>12</v>
      </c>
      <c r="B291" t="s">
        <v>20</v>
      </c>
      <c r="C291" t="s">
        <v>367</v>
      </c>
      <c r="D291" t="s">
        <v>369</v>
      </c>
      <c r="G291" s="11"/>
      <c r="H291" s="11" t="s">
        <v>29</v>
      </c>
      <c r="I291" s="11" t="s">
        <v>29</v>
      </c>
      <c r="J291" s="11">
        <f>RecetteTransport2[[#All],[Fibres TC NOK]]</f>
        <v>0</v>
      </c>
      <c r="K291" s="50">
        <f>RecetteTransport2[[#All],[Valeur Critique]]</f>
        <v>0</v>
      </c>
      <c r="L291" s="50">
        <f>AD:AD</f>
        <v>18</v>
      </c>
      <c r="N291" t="s">
        <v>65</v>
      </c>
      <c r="P291">
        <f xml:space="preserve"> _xlfn.ISOWEEKNUM(RecetteTransport2[[#This Row],[Date validation Optique]])</f>
        <v>52</v>
      </c>
      <c r="Q291">
        <f>YEAR(RecetteTransport2[[#This Row],[Date validation Optique]])</f>
        <v>1900</v>
      </c>
      <c r="T291" s="50">
        <f>_xlfn.ISOWEEKNUM(RecetteTransport2[[#This Row],[Date Achevement  Mécanique]])</f>
        <v>52</v>
      </c>
      <c r="U291" s="50">
        <f>YEAR(RecetteTransport2[[#This Row],[Date Achevement  Mécanique]])</f>
        <v>1900</v>
      </c>
      <c r="V291" s="2">
        <v>44254</v>
      </c>
      <c r="W291" s="50">
        <f>_xlfn.ISOWEEKNUM(RecetteTransport2[[#This Row],[Date de mesure]])</f>
        <v>8</v>
      </c>
      <c r="X291" s="11">
        <f>YEAR(RecetteTransport2[[#This Row],[Date de mesure]])</f>
        <v>2021</v>
      </c>
      <c r="Y291" s="2">
        <v>44263</v>
      </c>
      <c r="Z291" s="50">
        <f>_xlfn.ISOWEEKNUM(RecetteTransport2[[#This Row],[Date envoie dossier mesure]])</f>
        <v>10</v>
      </c>
      <c r="AA291" s="50">
        <f>YEAR(RecetteTransport2[[#This Row],[Date envoie dossier mesure]])</f>
        <v>2021</v>
      </c>
      <c r="AB291" s="11">
        <v>0</v>
      </c>
      <c r="AC291" s="11">
        <v>0</v>
      </c>
      <c r="AD291" s="50">
        <v>18</v>
      </c>
      <c r="AE291" s="6" t="e">
        <f>RecetteTransport2[[#All],[Nb de reprises Optiques]]/#REF!</f>
        <v>#REF!</v>
      </c>
      <c r="AF291" s="6"/>
    </row>
    <row r="292" spans="1:32" x14ac:dyDescent="0.3">
      <c r="A292" t="s">
        <v>12</v>
      </c>
      <c r="D292" t="s">
        <v>561</v>
      </c>
      <c r="G292" s="11"/>
      <c r="H292" s="11"/>
      <c r="I292" s="11"/>
      <c r="J292" s="11">
        <f>RecetteTransport2[[#All],[Fibres TC NOK]]</f>
        <v>0</v>
      </c>
      <c r="K292" s="50">
        <f>RecetteTransport2[[#All],[Valeur Critique]]</f>
        <v>0</v>
      </c>
      <c r="L292" s="50">
        <f t="shared" ref="L292:L294" si="17">AD:AD</f>
        <v>0</v>
      </c>
      <c r="P292" s="11">
        <f xml:space="preserve"> _xlfn.ISOWEEKNUM(RecetteTransport2[[#This Row],[Date validation Optique]])</f>
        <v>52</v>
      </c>
      <c r="Q292" s="11">
        <f>YEAR(RecetteTransport2[[#This Row],[Date validation Optique]])</f>
        <v>1900</v>
      </c>
      <c r="S292" s="47" t="e">
        <f>#REF!+10</f>
        <v>#REF!</v>
      </c>
      <c r="T292" s="50" t="e">
        <f>_xlfn.ISOWEEKNUM(RecetteTransport2[[#This Row],[Date Achevement  Mécanique]])</f>
        <v>#REF!</v>
      </c>
      <c r="U292" s="50" t="e">
        <f>YEAR(RecetteTransport2[[#This Row],[Date Achevement  Mécanique]])</f>
        <v>#REF!</v>
      </c>
      <c r="V292" s="47"/>
      <c r="W292" s="50">
        <f>_xlfn.ISOWEEKNUM(RecetteTransport2[[#This Row],[Date de mesure]])</f>
        <v>52</v>
      </c>
      <c r="X292" s="11">
        <f>YEAR(RecetteTransport2[[#This Row],[Date de mesure]])</f>
        <v>1900</v>
      </c>
      <c r="Y292" s="47"/>
      <c r="Z292" s="50">
        <f>_xlfn.ISOWEEKNUM(RecetteTransport2[[#This Row],[Date envoie dossier mesure]])</f>
        <v>52</v>
      </c>
      <c r="AA292" s="50">
        <f>YEAR(RecetteTransport2[[#This Row],[Date envoie dossier mesure]])</f>
        <v>1900</v>
      </c>
      <c r="AB292" s="11"/>
      <c r="AC292" s="11"/>
      <c r="AE292" s="6" t="e">
        <f>RecetteTransport2[[#All],[Nb de reprises Optiques]]/#REF!</f>
        <v>#REF!</v>
      </c>
      <c r="AF292" s="6"/>
    </row>
    <row r="293" spans="1:32" x14ac:dyDescent="0.3">
      <c r="A293" t="s">
        <v>12</v>
      </c>
      <c r="D293" t="s">
        <v>562</v>
      </c>
      <c r="G293" s="11"/>
      <c r="H293" s="11"/>
      <c r="I293" s="11"/>
      <c r="J293" s="11">
        <f>RecetteTransport2[[#All],[Fibres TC NOK]]</f>
        <v>0</v>
      </c>
      <c r="K293" s="50">
        <f>RecetteTransport2[[#All],[Valeur Critique]]</f>
        <v>0</v>
      </c>
      <c r="L293" s="50">
        <f t="shared" si="17"/>
        <v>0</v>
      </c>
      <c r="P293" s="11">
        <f xml:space="preserve"> _xlfn.ISOWEEKNUM(RecetteTransport2[[#This Row],[Date validation Optique]])</f>
        <v>52</v>
      </c>
      <c r="Q293" s="11">
        <f>YEAR(RecetteTransport2[[#This Row],[Date validation Optique]])</f>
        <v>1900</v>
      </c>
      <c r="S293" s="47" t="e">
        <f>#REF!+10</f>
        <v>#REF!</v>
      </c>
      <c r="T293" s="50" t="e">
        <f>_xlfn.ISOWEEKNUM(RecetteTransport2[[#This Row],[Date Achevement  Mécanique]])</f>
        <v>#REF!</v>
      </c>
      <c r="U293" s="50" t="e">
        <f>YEAR(RecetteTransport2[[#This Row],[Date Achevement  Mécanique]])</f>
        <v>#REF!</v>
      </c>
      <c r="V293" s="47"/>
      <c r="W293" s="50">
        <f>_xlfn.ISOWEEKNUM(RecetteTransport2[[#This Row],[Date de mesure]])</f>
        <v>52</v>
      </c>
      <c r="X293" s="11">
        <f>YEAR(RecetteTransport2[[#This Row],[Date de mesure]])</f>
        <v>1900</v>
      </c>
      <c r="Y293" s="47"/>
      <c r="Z293" s="50">
        <f>_xlfn.ISOWEEKNUM(RecetteTransport2[[#This Row],[Date envoie dossier mesure]])</f>
        <v>52</v>
      </c>
      <c r="AA293" s="50">
        <f>YEAR(RecetteTransport2[[#This Row],[Date envoie dossier mesure]])</f>
        <v>1900</v>
      </c>
      <c r="AB293" s="11"/>
      <c r="AC293" s="11"/>
      <c r="AE293" s="6" t="e">
        <f>RecetteTransport2[[#All],[Nb de reprises Optiques]]/#REF!</f>
        <v>#REF!</v>
      </c>
      <c r="AF293" s="6"/>
    </row>
    <row r="294" spans="1:32" x14ac:dyDescent="0.3">
      <c r="A294" t="s">
        <v>12</v>
      </c>
      <c r="D294" t="s">
        <v>563</v>
      </c>
      <c r="G294" s="11"/>
      <c r="H294" s="11"/>
      <c r="I294" s="11"/>
      <c r="J294" s="11">
        <f>RecetteTransport2[[#All],[Fibres TC NOK]]</f>
        <v>0</v>
      </c>
      <c r="K294" s="50">
        <f>RecetteTransport2[[#All],[Valeur Critique]]</f>
        <v>0</v>
      </c>
      <c r="L294" s="50">
        <f t="shared" si="17"/>
        <v>0</v>
      </c>
      <c r="P294" s="11">
        <f xml:space="preserve"> _xlfn.ISOWEEKNUM(RecetteTransport2[[#This Row],[Date validation Optique]])</f>
        <v>52</v>
      </c>
      <c r="Q294" s="11">
        <f>YEAR(RecetteTransport2[[#This Row],[Date validation Optique]])</f>
        <v>1900</v>
      </c>
      <c r="S294" s="47" t="e">
        <f>#REF!+10</f>
        <v>#REF!</v>
      </c>
      <c r="T294" s="50" t="e">
        <f>_xlfn.ISOWEEKNUM(RecetteTransport2[[#This Row],[Date Achevement  Mécanique]])</f>
        <v>#REF!</v>
      </c>
      <c r="U294" s="50" t="e">
        <f>YEAR(RecetteTransport2[[#This Row],[Date Achevement  Mécanique]])</f>
        <v>#REF!</v>
      </c>
      <c r="V294" s="47"/>
      <c r="W294" s="50">
        <f>_xlfn.ISOWEEKNUM(RecetteTransport2[[#This Row],[Date de mesure]])</f>
        <v>52</v>
      </c>
      <c r="X294" s="11">
        <f>YEAR(RecetteTransport2[[#This Row],[Date de mesure]])</f>
        <v>1900</v>
      </c>
      <c r="Y294" s="47"/>
      <c r="Z294" s="50">
        <f>_xlfn.ISOWEEKNUM(RecetteTransport2[[#This Row],[Date envoie dossier mesure]])</f>
        <v>52</v>
      </c>
      <c r="AA294" s="50">
        <f>YEAR(RecetteTransport2[[#This Row],[Date envoie dossier mesure]])</f>
        <v>1900</v>
      </c>
      <c r="AB294" s="11"/>
      <c r="AC294" s="11"/>
      <c r="AE294" s="6" t="e">
        <f>RecetteTransport2[[#All],[Nb de reprises Optiques]]/#REF!</f>
        <v>#REF!</v>
      </c>
      <c r="AF294" s="6"/>
    </row>
    <row r="295" spans="1:32" hidden="1" x14ac:dyDescent="0.3">
      <c r="A295" t="s">
        <v>12</v>
      </c>
      <c r="B295" t="s">
        <v>20</v>
      </c>
      <c r="C295" t="s">
        <v>254</v>
      </c>
      <c r="D295" t="s">
        <v>274</v>
      </c>
      <c r="G295" s="11"/>
      <c r="H295" s="11" t="s">
        <v>29</v>
      </c>
      <c r="I295" s="11" t="s">
        <v>29</v>
      </c>
      <c r="J295" s="11">
        <f>RecetteTransport2[[#All],[Fibres TC NOK]]</f>
        <v>0</v>
      </c>
      <c r="K295" s="50">
        <f>RecetteTransport2[[#All],[Valeur Critique]]</f>
        <v>0</v>
      </c>
      <c r="L295" s="50">
        <f>AD:AD</f>
        <v>13</v>
      </c>
      <c r="N295" t="s">
        <v>65</v>
      </c>
      <c r="P295">
        <f xml:space="preserve"> _xlfn.ISOWEEKNUM(RecetteTransport2[[#This Row],[Date validation Optique]])</f>
        <v>52</v>
      </c>
      <c r="Q295">
        <f>YEAR(RecetteTransport2[[#This Row],[Date validation Optique]])</f>
        <v>1900</v>
      </c>
      <c r="T295" s="50">
        <f>_xlfn.ISOWEEKNUM(RecetteTransport2[[#This Row],[Date Achevement  Mécanique]])</f>
        <v>52</v>
      </c>
      <c r="U295" s="50">
        <f>YEAR(RecetteTransport2[[#This Row],[Date Achevement  Mécanique]])</f>
        <v>1900</v>
      </c>
      <c r="V295" s="2"/>
      <c r="W295" s="50">
        <f>_xlfn.ISOWEEKNUM(RecetteTransport2[[#This Row],[Date de mesure]])</f>
        <v>52</v>
      </c>
      <c r="X295" s="11">
        <f>YEAR(RecetteTransport2[[#This Row],[Date de mesure]])</f>
        <v>1900</v>
      </c>
      <c r="Y295" s="2">
        <v>44211</v>
      </c>
      <c r="Z295" s="50">
        <f>_xlfn.ISOWEEKNUM(RecetteTransport2[[#This Row],[Date envoie dossier mesure]])</f>
        <v>2</v>
      </c>
      <c r="AA295" s="50">
        <f>YEAR(RecetteTransport2[[#This Row],[Date envoie dossier mesure]])</f>
        <v>2021</v>
      </c>
      <c r="AB295" s="11">
        <v>0</v>
      </c>
      <c r="AC295" s="11">
        <v>0</v>
      </c>
      <c r="AD295" s="50">
        <v>13</v>
      </c>
      <c r="AE295" s="6" t="e">
        <f>RecetteTransport2[[#All],[Nb de reprises Optiques]]/#REF!</f>
        <v>#REF!</v>
      </c>
      <c r="AF295" s="6"/>
    </row>
    <row r="296" spans="1:32" hidden="1" x14ac:dyDescent="0.3">
      <c r="A296" t="s">
        <v>12</v>
      </c>
      <c r="B296" t="s">
        <v>20</v>
      </c>
      <c r="C296" t="s">
        <v>329</v>
      </c>
      <c r="D296" t="s">
        <v>330</v>
      </c>
      <c r="G296" s="11"/>
      <c r="H296" s="11" t="s">
        <v>29</v>
      </c>
      <c r="I296" s="11" t="s">
        <v>29</v>
      </c>
      <c r="J296" s="11">
        <f>RecetteTransport2[[#All],[Fibres TC NOK]]</f>
        <v>0</v>
      </c>
      <c r="K296" s="50">
        <f>RecetteTransport2[[#All],[Valeur Critique]]</f>
        <v>0</v>
      </c>
      <c r="L296" s="50">
        <f>AD:AD</f>
        <v>6</v>
      </c>
      <c r="N296" t="s">
        <v>65</v>
      </c>
      <c r="P296">
        <f xml:space="preserve"> _xlfn.ISOWEEKNUM(RecetteTransport2[[#This Row],[Date validation Optique]])</f>
        <v>52</v>
      </c>
      <c r="Q296">
        <f>YEAR(RecetteTransport2[[#This Row],[Date validation Optique]])</f>
        <v>1900</v>
      </c>
      <c r="T296" s="50">
        <f>_xlfn.ISOWEEKNUM(RecetteTransport2[[#This Row],[Date Achevement  Mécanique]])</f>
        <v>52</v>
      </c>
      <c r="U296" s="50">
        <f>YEAR(RecetteTransport2[[#This Row],[Date Achevement  Mécanique]])</f>
        <v>1900</v>
      </c>
      <c r="V296" s="2">
        <v>44257</v>
      </c>
      <c r="W296" s="50">
        <f>_xlfn.ISOWEEKNUM(RecetteTransport2[[#This Row],[Date de mesure]])</f>
        <v>9</v>
      </c>
      <c r="X296" s="11">
        <f>YEAR(RecetteTransport2[[#This Row],[Date de mesure]])</f>
        <v>2021</v>
      </c>
      <c r="Y296" s="2">
        <v>44263</v>
      </c>
      <c r="Z296" s="50">
        <f>_xlfn.ISOWEEKNUM(RecetteTransport2[[#This Row],[Date envoie dossier mesure]])</f>
        <v>10</v>
      </c>
      <c r="AA296" s="50">
        <f>YEAR(RecetteTransport2[[#This Row],[Date envoie dossier mesure]])</f>
        <v>2021</v>
      </c>
      <c r="AB296" s="11">
        <v>0</v>
      </c>
      <c r="AC296" s="11">
        <v>0</v>
      </c>
      <c r="AD296" s="50">
        <v>6</v>
      </c>
      <c r="AE296" s="6" t="e">
        <f>RecetteTransport2[[#All],[Nb de reprises Optiques]]/#REF!</f>
        <v>#REF!</v>
      </c>
      <c r="AF296" s="6"/>
    </row>
    <row r="297" spans="1:32" x14ac:dyDescent="0.3">
      <c r="A297" t="s">
        <v>12</v>
      </c>
      <c r="D297" t="s">
        <v>564</v>
      </c>
      <c r="G297" s="11"/>
      <c r="H297" s="11"/>
      <c r="I297" s="11"/>
      <c r="J297" s="11">
        <f>RecetteTransport2[[#All],[Fibres TC NOK]]</f>
        <v>0</v>
      </c>
      <c r="K297" s="50">
        <f>RecetteTransport2[[#All],[Valeur Critique]]</f>
        <v>0</v>
      </c>
      <c r="L297" s="50">
        <f>AD:AD</f>
        <v>0</v>
      </c>
      <c r="P297" s="11">
        <f xml:space="preserve"> _xlfn.ISOWEEKNUM(RecetteTransport2[[#This Row],[Date validation Optique]])</f>
        <v>52</v>
      </c>
      <c r="Q297" s="11">
        <f>YEAR(RecetteTransport2[[#This Row],[Date validation Optique]])</f>
        <v>1900</v>
      </c>
      <c r="S297" s="47" t="e">
        <f>#REF!+10</f>
        <v>#REF!</v>
      </c>
      <c r="T297" s="50" t="e">
        <f>_xlfn.ISOWEEKNUM(RecetteTransport2[[#This Row],[Date Achevement  Mécanique]])</f>
        <v>#REF!</v>
      </c>
      <c r="U297" s="50" t="e">
        <f>YEAR(RecetteTransport2[[#This Row],[Date Achevement  Mécanique]])</f>
        <v>#REF!</v>
      </c>
      <c r="V297" s="47"/>
      <c r="W297" s="50">
        <f>_xlfn.ISOWEEKNUM(RecetteTransport2[[#This Row],[Date de mesure]])</f>
        <v>52</v>
      </c>
      <c r="X297" s="11">
        <f>YEAR(RecetteTransport2[[#This Row],[Date de mesure]])</f>
        <v>1900</v>
      </c>
      <c r="Y297" s="47"/>
      <c r="Z297" s="50">
        <f>_xlfn.ISOWEEKNUM(RecetteTransport2[[#This Row],[Date envoie dossier mesure]])</f>
        <v>52</v>
      </c>
      <c r="AA297" s="50">
        <f>YEAR(RecetteTransport2[[#This Row],[Date envoie dossier mesure]])</f>
        <v>1900</v>
      </c>
      <c r="AB297" s="11"/>
      <c r="AC297" s="11"/>
      <c r="AE297" s="6" t="e">
        <f>RecetteTransport2[[#All],[Nb de reprises Optiques]]/#REF!</f>
        <v>#REF!</v>
      </c>
      <c r="AF297" s="6"/>
    </row>
    <row r="298" spans="1:32" hidden="1" x14ac:dyDescent="0.3">
      <c r="A298" t="s">
        <v>12</v>
      </c>
      <c r="B298" t="s">
        <v>13</v>
      </c>
      <c r="C298" t="s">
        <v>408</v>
      </c>
      <c r="D298" t="s">
        <v>405</v>
      </c>
      <c r="G298" s="11"/>
      <c r="H298" s="11" t="s">
        <v>29</v>
      </c>
      <c r="I298" s="11"/>
      <c r="J298" s="11">
        <f>RecetteTransport2[[#All],[Fibres TC NOK]]</f>
        <v>0</v>
      </c>
      <c r="K298" s="50">
        <f>RecetteTransport2[[#All],[Valeur Critique]]</f>
        <v>0</v>
      </c>
      <c r="L298" s="50">
        <f>AD:AD</f>
        <v>0</v>
      </c>
      <c r="N298" t="s">
        <v>65</v>
      </c>
      <c r="P298">
        <f xml:space="preserve"> _xlfn.ISOWEEKNUM(RecetteTransport2[[#This Row],[Date validation Optique]])</f>
        <v>52</v>
      </c>
      <c r="Q298">
        <f>YEAR(RecetteTransport2[[#This Row],[Date validation Optique]])</f>
        <v>1900</v>
      </c>
      <c r="T298" s="50">
        <f>_xlfn.ISOWEEKNUM(RecetteTransport2[[#This Row],[Date Achevement  Mécanique]])</f>
        <v>52</v>
      </c>
      <c r="U298" s="50">
        <f>YEAR(RecetteTransport2[[#This Row],[Date Achevement  Mécanique]])</f>
        <v>1900</v>
      </c>
      <c r="V298" s="2">
        <v>44267</v>
      </c>
      <c r="W298" s="50">
        <f>_xlfn.ISOWEEKNUM(RecetteTransport2[[#This Row],[Date de mesure]])</f>
        <v>10</v>
      </c>
      <c r="X298" s="11">
        <f>YEAR(RecetteTransport2[[#This Row],[Date de mesure]])</f>
        <v>2021</v>
      </c>
      <c r="Z298" s="50">
        <f>_xlfn.ISOWEEKNUM(RecetteTransport2[[#This Row],[Date envoie dossier mesure]])</f>
        <v>52</v>
      </c>
      <c r="AA298" s="50">
        <f>YEAR(RecetteTransport2[[#This Row],[Date envoie dossier mesure]])</f>
        <v>1900</v>
      </c>
      <c r="AB298" s="11"/>
      <c r="AC298" s="11"/>
      <c r="AE298" s="6" t="e">
        <f>RecetteTransport2[[#All],[Nb de reprises Optiques]]/#REF!</f>
        <v>#REF!</v>
      </c>
      <c r="AF298" s="6"/>
    </row>
    <row r="299" spans="1:32" x14ac:dyDescent="0.3">
      <c r="A299" t="s">
        <v>12</v>
      </c>
      <c r="D299" t="s">
        <v>565</v>
      </c>
      <c r="G299" s="11"/>
      <c r="H299" s="11"/>
      <c r="I299" s="11"/>
      <c r="J299" s="11">
        <f>RecetteTransport2[[#All],[Fibres TC NOK]]</f>
        <v>0</v>
      </c>
      <c r="K299" s="50">
        <f>RecetteTransport2[[#All],[Valeur Critique]]</f>
        <v>0</v>
      </c>
      <c r="L299" s="50">
        <f t="shared" ref="L299:L302" si="18">AD:AD</f>
        <v>0</v>
      </c>
      <c r="P299" s="11">
        <f xml:space="preserve"> _xlfn.ISOWEEKNUM(RecetteTransport2[[#This Row],[Date validation Optique]])</f>
        <v>52</v>
      </c>
      <c r="Q299" s="11">
        <f>YEAR(RecetteTransport2[[#This Row],[Date validation Optique]])</f>
        <v>1900</v>
      </c>
      <c r="S299" s="47" t="e">
        <f>#REF!+10</f>
        <v>#REF!</v>
      </c>
      <c r="T299" s="50" t="e">
        <f>_xlfn.ISOWEEKNUM(RecetteTransport2[[#This Row],[Date Achevement  Mécanique]])</f>
        <v>#REF!</v>
      </c>
      <c r="U299" s="50" t="e">
        <f>YEAR(RecetteTransport2[[#This Row],[Date Achevement  Mécanique]])</f>
        <v>#REF!</v>
      </c>
      <c r="V299" s="47"/>
      <c r="W299" s="50">
        <f>_xlfn.ISOWEEKNUM(RecetteTransport2[[#This Row],[Date de mesure]])</f>
        <v>52</v>
      </c>
      <c r="X299" s="11">
        <f>YEAR(RecetteTransport2[[#This Row],[Date de mesure]])</f>
        <v>1900</v>
      </c>
      <c r="Y299" s="47"/>
      <c r="Z299" s="50">
        <f>_xlfn.ISOWEEKNUM(RecetteTransport2[[#This Row],[Date envoie dossier mesure]])</f>
        <v>52</v>
      </c>
      <c r="AA299" s="50">
        <f>YEAR(RecetteTransport2[[#This Row],[Date envoie dossier mesure]])</f>
        <v>1900</v>
      </c>
      <c r="AB299" s="11"/>
      <c r="AC299" s="11"/>
      <c r="AE299" s="6" t="e">
        <f>RecetteTransport2[[#All],[Nb de reprises Optiques]]/#REF!</f>
        <v>#REF!</v>
      </c>
      <c r="AF299" s="6"/>
    </row>
    <row r="300" spans="1:32" x14ac:dyDescent="0.3">
      <c r="A300" t="s">
        <v>12</v>
      </c>
      <c r="D300" t="s">
        <v>566</v>
      </c>
      <c r="G300" s="11"/>
      <c r="H300" s="11"/>
      <c r="I300" s="11"/>
      <c r="J300" s="11">
        <f>RecetteTransport2[[#All],[Fibres TC NOK]]</f>
        <v>0</v>
      </c>
      <c r="K300" s="50">
        <f>RecetteTransport2[[#All],[Valeur Critique]]</f>
        <v>0</v>
      </c>
      <c r="L300" s="50">
        <f t="shared" si="18"/>
        <v>0</v>
      </c>
      <c r="P300" s="11">
        <f xml:space="preserve"> _xlfn.ISOWEEKNUM(RecetteTransport2[[#This Row],[Date validation Optique]])</f>
        <v>52</v>
      </c>
      <c r="Q300" s="11">
        <f>YEAR(RecetteTransport2[[#This Row],[Date validation Optique]])</f>
        <v>1900</v>
      </c>
      <c r="S300" s="47" t="e">
        <f>#REF!+10</f>
        <v>#REF!</v>
      </c>
      <c r="T300" s="50" t="e">
        <f>_xlfn.ISOWEEKNUM(RecetteTransport2[[#This Row],[Date Achevement  Mécanique]])</f>
        <v>#REF!</v>
      </c>
      <c r="U300" s="50" t="e">
        <f>YEAR(RecetteTransport2[[#This Row],[Date Achevement  Mécanique]])</f>
        <v>#REF!</v>
      </c>
      <c r="V300" s="47"/>
      <c r="W300" s="50">
        <f>_xlfn.ISOWEEKNUM(RecetteTransport2[[#This Row],[Date de mesure]])</f>
        <v>52</v>
      </c>
      <c r="X300" s="11">
        <f>YEAR(RecetteTransport2[[#This Row],[Date de mesure]])</f>
        <v>1900</v>
      </c>
      <c r="Y300" s="47"/>
      <c r="Z300" s="50">
        <f>_xlfn.ISOWEEKNUM(RecetteTransport2[[#This Row],[Date envoie dossier mesure]])</f>
        <v>52</v>
      </c>
      <c r="AA300" s="50">
        <f>YEAR(RecetteTransport2[[#This Row],[Date envoie dossier mesure]])</f>
        <v>1900</v>
      </c>
      <c r="AB300" s="11"/>
      <c r="AC300" s="11"/>
      <c r="AE300" s="6" t="e">
        <f>RecetteTransport2[[#All],[Nb de reprises Optiques]]/#REF!</f>
        <v>#REF!</v>
      </c>
      <c r="AF300" s="6"/>
    </row>
    <row r="301" spans="1:32" x14ac:dyDescent="0.3">
      <c r="A301" t="s">
        <v>12</v>
      </c>
      <c r="D301" t="s">
        <v>567</v>
      </c>
      <c r="G301" s="11"/>
      <c r="H301" s="11"/>
      <c r="I301" s="11"/>
      <c r="J301" s="11">
        <f>RecetteTransport2[[#All],[Fibres TC NOK]]</f>
        <v>0</v>
      </c>
      <c r="K301" s="50">
        <f>RecetteTransport2[[#All],[Valeur Critique]]</f>
        <v>0</v>
      </c>
      <c r="L301" s="50">
        <f t="shared" si="18"/>
        <v>0</v>
      </c>
      <c r="P301" s="11">
        <f xml:space="preserve"> _xlfn.ISOWEEKNUM(RecetteTransport2[[#This Row],[Date validation Optique]])</f>
        <v>52</v>
      </c>
      <c r="Q301" s="11">
        <f>YEAR(RecetteTransport2[[#This Row],[Date validation Optique]])</f>
        <v>1900</v>
      </c>
      <c r="S301" s="47" t="e">
        <f>#REF!+10</f>
        <v>#REF!</v>
      </c>
      <c r="T301" s="50" t="e">
        <f>_xlfn.ISOWEEKNUM(RecetteTransport2[[#This Row],[Date Achevement  Mécanique]])</f>
        <v>#REF!</v>
      </c>
      <c r="U301" s="50" t="e">
        <f>YEAR(RecetteTransport2[[#This Row],[Date Achevement  Mécanique]])</f>
        <v>#REF!</v>
      </c>
      <c r="V301" s="47"/>
      <c r="W301" s="50">
        <f>_xlfn.ISOWEEKNUM(RecetteTransport2[[#This Row],[Date de mesure]])</f>
        <v>52</v>
      </c>
      <c r="X301" s="11">
        <f>YEAR(RecetteTransport2[[#This Row],[Date de mesure]])</f>
        <v>1900</v>
      </c>
      <c r="Y301" s="47"/>
      <c r="Z301" s="50">
        <f>_xlfn.ISOWEEKNUM(RecetteTransport2[[#This Row],[Date envoie dossier mesure]])</f>
        <v>52</v>
      </c>
      <c r="AA301" s="50">
        <f>YEAR(RecetteTransport2[[#This Row],[Date envoie dossier mesure]])</f>
        <v>1900</v>
      </c>
      <c r="AB301" s="11"/>
      <c r="AC301" s="11"/>
      <c r="AE301" s="6" t="e">
        <f>RecetteTransport2[[#All],[Nb de reprises Optiques]]/#REF!</f>
        <v>#REF!</v>
      </c>
      <c r="AF301" s="6"/>
    </row>
    <row r="302" spans="1:32" x14ac:dyDescent="0.3">
      <c r="A302" t="s">
        <v>12</v>
      </c>
      <c r="D302" t="s">
        <v>568</v>
      </c>
      <c r="G302" s="11"/>
      <c r="H302" s="11"/>
      <c r="I302" s="11"/>
      <c r="J302" s="11">
        <f>RecetteTransport2[[#All],[Fibres TC NOK]]</f>
        <v>0</v>
      </c>
      <c r="K302" s="50">
        <f>RecetteTransport2[[#All],[Valeur Critique]]</f>
        <v>0</v>
      </c>
      <c r="L302" s="50">
        <f t="shared" si="18"/>
        <v>0</v>
      </c>
      <c r="P302" s="11">
        <f xml:space="preserve"> _xlfn.ISOWEEKNUM(RecetteTransport2[[#This Row],[Date validation Optique]])</f>
        <v>52</v>
      </c>
      <c r="Q302" s="11">
        <f>YEAR(RecetteTransport2[[#This Row],[Date validation Optique]])</f>
        <v>1900</v>
      </c>
      <c r="S302" s="47" t="e">
        <f>#REF!+10</f>
        <v>#REF!</v>
      </c>
      <c r="T302" s="50" t="e">
        <f>_xlfn.ISOWEEKNUM(RecetteTransport2[[#This Row],[Date Achevement  Mécanique]])</f>
        <v>#REF!</v>
      </c>
      <c r="U302" s="50" t="e">
        <f>YEAR(RecetteTransport2[[#This Row],[Date Achevement  Mécanique]])</f>
        <v>#REF!</v>
      </c>
      <c r="V302" s="47"/>
      <c r="W302" s="50">
        <f>_xlfn.ISOWEEKNUM(RecetteTransport2[[#This Row],[Date de mesure]])</f>
        <v>52</v>
      </c>
      <c r="X302" s="11">
        <f>YEAR(RecetteTransport2[[#This Row],[Date de mesure]])</f>
        <v>1900</v>
      </c>
      <c r="Y302" s="47"/>
      <c r="Z302" s="50">
        <f>_xlfn.ISOWEEKNUM(RecetteTransport2[[#This Row],[Date envoie dossier mesure]])</f>
        <v>52</v>
      </c>
      <c r="AA302" s="50">
        <f>YEAR(RecetteTransport2[[#This Row],[Date envoie dossier mesure]])</f>
        <v>1900</v>
      </c>
      <c r="AB302" s="11"/>
      <c r="AC302" s="11"/>
      <c r="AE302" s="6" t="e">
        <f>RecetteTransport2[[#All],[Nb de reprises Optiques]]/#REF!</f>
        <v>#REF!</v>
      </c>
      <c r="AF302" s="6"/>
    </row>
    <row r="303" spans="1:32" hidden="1" x14ac:dyDescent="0.3">
      <c r="A303" t="s">
        <v>12</v>
      </c>
      <c r="B303" t="s">
        <v>13</v>
      </c>
      <c r="C303" t="s">
        <v>408</v>
      </c>
      <c r="D303" t="s">
        <v>407</v>
      </c>
      <c r="G303" s="11"/>
      <c r="H303" s="11" t="s">
        <v>29</v>
      </c>
      <c r="I303" s="11"/>
      <c r="J303" s="11">
        <f>RecetteTransport2[[#All],[Fibres TC NOK]]</f>
        <v>0</v>
      </c>
      <c r="K303" s="50">
        <f>RecetteTransport2[[#All],[Valeur Critique]]</f>
        <v>0</v>
      </c>
      <c r="L303" s="50">
        <f>AD:AD</f>
        <v>0</v>
      </c>
      <c r="N303" t="s">
        <v>65</v>
      </c>
      <c r="P303">
        <f xml:space="preserve"> _xlfn.ISOWEEKNUM(RecetteTransport2[[#This Row],[Date validation Optique]])</f>
        <v>52</v>
      </c>
      <c r="Q303">
        <f>YEAR(RecetteTransport2[[#This Row],[Date validation Optique]])</f>
        <v>1900</v>
      </c>
      <c r="T303" s="50">
        <f>_xlfn.ISOWEEKNUM(RecetteTransport2[[#This Row],[Date Achevement  Mécanique]])</f>
        <v>52</v>
      </c>
      <c r="U303" s="50">
        <f>YEAR(RecetteTransport2[[#This Row],[Date Achevement  Mécanique]])</f>
        <v>1900</v>
      </c>
      <c r="V303" s="2">
        <v>44267</v>
      </c>
      <c r="W303" s="50">
        <f>_xlfn.ISOWEEKNUM(RecetteTransport2[[#This Row],[Date de mesure]])</f>
        <v>10</v>
      </c>
      <c r="X303" s="11">
        <f>YEAR(RecetteTransport2[[#This Row],[Date de mesure]])</f>
        <v>2021</v>
      </c>
      <c r="Z303" s="50">
        <f>_xlfn.ISOWEEKNUM(RecetteTransport2[[#This Row],[Date envoie dossier mesure]])</f>
        <v>52</v>
      </c>
      <c r="AA303" s="50">
        <f>YEAR(RecetteTransport2[[#This Row],[Date envoie dossier mesure]])</f>
        <v>1900</v>
      </c>
      <c r="AB303" s="11"/>
      <c r="AC303" s="11"/>
      <c r="AE303" s="6" t="e">
        <f>RecetteTransport2[[#All],[Nb de reprises Optiques]]/#REF!</f>
        <v>#REF!</v>
      </c>
      <c r="AF303" s="6"/>
    </row>
    <row r="304" spans="1:32" hidden="1" x14ac:dyDescent="0.3">
      <c r="A304" t="s">
        <v>12</v>
      </c>
      <c r="B304" t="s">
        <v>13</v>
      </c>
      <c r="C304" t="s">
        <v>289</v>
      </c>
      <c r="D304" t="s">
        <v>290</v>
      </c>
      <c r="G304" s="11"/>
      <c r="H304" s="11" t="s">
        <v>29</v>
      </c>
      <c r="I304" s="11" t="s">
        <v>29</v>
      </c>
      <c r="J304" s="11">
        <f>RecetteTransport2[[#All],[Fibres TC NOK]]</f>
        <v>0</v>
      </c>
      <c r="K304" s="50">
        <f>RecetteTransport2[[#All],[Valeur Critique]]</f>
        <v>0</v>
      </c>
      <c r="L304" s="50">
        <f>AD:AD</f>
        <v>17</v>
      </c>
      <c r="N304" t="s">
        <v>65</v>
      </c>
      <c r="P304">
        <f xml:space="preserve"> _xlfn.ISOWEEKNUM(RecetteTransport2[[#This Row],[Date validation Optique]])</f>
        <v>52</v>
      </c>
      <c r="Q304">
        <f>YEAR(RecetteTransport2[[#This Row],[Date validation Optique]])</f>
        <v>1900</v>
      </c>
      <c r="T304" s="50">
        <f>_xlfn.ISOWEEKNUM(RecetteTransport2[[#This Row],[Date Achevement  Mécanique]])</f>
        <v>52</v>
      </c>
      <c r="U304" s="50">
        <f>YEAR(RecetteTransport2[[#This Row],[Date Achevement  Mécanique]])</f>
        <v>1900</v>
      </c>
      <c r="V304" s="2">
        <v>44223</v>
      </c>
      <c r="W304" s="50">
        <f>_xlfn.ISOWEEKNUM(RecetteTransport2[[#This Row],[Date de mesure]])</f>
        <v>4</v>
      </c>
      <c r="X304" s="11">
        <f>YEAR(RecetteTransport2[[#This Row],[Date de mesure]])</f>
        <v>2021</v>
      </c>
      <c r="Y304" s="2">
        <v>44228</v>
      </c>
      <c r="Z304" s="50">
        <f>_xlfn.ISOWEEKNUM(RecetteTransport2[[#This Row],[Date envoie dossier mesure]])</f>
        <v>5</v>
      </c>
      <c r="AA304" s="50">
        <f>YEAR(RecetteTransport2[[#This Row],[Date envoie dossier mesure]])</f>
        <v>2021</v>
      </c>
      <c r="AB304" s="11">
        <v>0</v>
      </c>
      <c r="AC304" s="11">
        <v>0</v>
      </c>
      <c r="AD304" s="50">
        <v>17</v>
      </c>
      <c r="AE304" s="6" t="e">
        <f>RecetteTransport2[[#All],[Nb de reprises Optiques]]/#REF!</f>
        <v>#REF!</v>
      </c>
      <c r="AF304" s="6"/>
    </row>
    <row r="305" spans="1:32" hidden="1" x14ac:dyDescent="0.3">
      <c r="A305" t="s">
        <v>12</v>
      </c>
      <c r="B305" t="s">
        <v>13</v>
      </c>
      <c r="C305" t="s">
        <v>289</v>
      </c>
      <c r="D305" t="s">
        <v>291</v>
      </c>
      <c r="G305" s="11"/>
      <c r="H305" s="11" t="s">
        <v>29</v>
      </c>
      <c r="I305" s="11" t="s">
        <v>29</v>
      </c>
      <c r="J305" s="11">
        <f>RecetteTransport2[[#All],[Fibres TC NOK]]</f>
        <v>0</v>
      </c>
      <c r="K305" s="50">
        <f>RecetteTransport2[[#All],[Valeur Critique]]</f>
        <v>0</v>
      </c>
      <c r="L305" s="50">
        <f>AD:AD</f>
        <v>14</v>
      </c>
      <c r="N305" t="s">
        <v>65</v>
      </c>
      <c r="P305">
        <f xml:space="preserve"> _xlfn.ISOWEEKNUM(RecetteTransport2[[#This Row],[Date validation Optique]])</f>
        <v>52</v>
      </c>
      <c r="Q305">
        <f>YEAR(RecetteTransport2[[#This Row],[Date validation Optique]])</f>
        <v>1900</v>
      </c>
      <c r="T305" s="50">
        <f>_xlfn.ISOWEEKNUM(RecetteTransport2[[#This Row],[Date Achevement  Mécanique]])</f>
        <v>52</v>
      </c>
      <c r="U305" s="50">
        <f>YEAR(RecetteTransport2[[#This Row],[Date Achevement  Mécanique]])</f>
        <v>1900</v>
      </c>
      <c r="V305" s="2">
        <v>44223</v>
      </c>
      <c r="W305" s="50">
        <f>_xlfn.ISOWEEKNUM(RecetteTransport2[[#This Row],[Date de mesure]])</f>
        <v>4</v>
      </c>
      <c r="X305" s="11">
        <f>YEAR(RecetteTransport2[[#This Row],[Date de mesure]])</f>
        <v>2021</v>
      </c>
      <c r="Y305" s="2">
        <v>44228</v>
      </c>
      <c r="Z305" s="50">
        <f>_xlfn.ISOWEEKNUM(RecetteTransport2[[#This Row],[Date envoie dossier mesure]])</f>
        <v>5</v>
      </c>
      <c r="AA305" s="50">
        <f>YEAR(RecetteTransport2[[#This Row],[Date envoie dossier mesure]])</f>
        <v>2021</v>
      </c>
      <c r="AB305" s="11">
        <v>0</v>
      </c>
      <c r="AC305" s="11">
        <v>0</v>
      </c>
      <c r="AD305" s="50">
        <v>14</v>
      </c>
      <c r="AE305" s="6" t="e">
        <f>RecetteTransport2[[#All],[Nb de reprises Optiques]]/#REF!</f>
        <v>#REF!</v>
      </c>
      <c r="AF305" s="6"/>
    </row>
    <row r="306" spans="1:32" x14ac:dyDescent="0.3">
      <c r="A306" t="s">
        <v>12</v>
      </c>
      <c r="D306" t="s">
        <v>569</v>
      </c>
      <c r="G306" s="11"/>
      <c r="H306" s="11"/>
      <c r="I306" s="11"/>
      <c r="J306" s="11">
        <f>RecetteTransport2[[#All],[Fibres TC NOK]]</f>
        <v>0</v>
      </c>
      <c r="K306" s="50">
        <f>RecetteTransport2[[#All],[Valeur Critique]]</f>
        <v>0</v>
      </c>
      <c r="L306" s="50">
        <f>AD:AD</f>
        <v>0</v>
      </c>
      <c r="P306" s="11">
        <f xml:space="preserve"> _xlfn.ISOWEEKNUM(RecetteTransport2[[#This Row],[Date validation Optique]])</f>
        <v>52</v>
      </c>
      <c r="Q306" s="11">
        <f>YEAR(RecetteTransport2[[#This Row],[Date validation Optique]])</f>
        <v>1900</v>
      </c>
      <c r="S306" s="47" t="e">
        <f>#REF!+10</f>
        <v>#REF!</v>
      </c>
      <c r="T306" s="50" t="e">
        <f>_xlfn.ISOWEEKNUM(RecetteTransport2[[#This Row],[Date Achevement  Mécanique]])</f>
        <v>#REF!</v>
      </c>
      <c r="U306" s="50" t="e">
        <f>YEAR(RecetteTransport2[[#This Row],[Date Achevement  Mécanique]])</f>
        <v>#REF!</v>
      </c>
      <c r="V306" s="47"/>
      <c r="W306" s="50">
        <f>_xlfn.ISOWEEKNUM(RecetteTransport2[[#This Row],[Date de mesure]])</f>
        <v>52</v>
      </c>
      <c r="X306" s="11">
        <f>YEAR(RecetteTransport2[[#This Row],[Date de mesure]])</f>
        <v>1900</v>
      </c>
      <c r="Y306" s="47"/>
      <c r="Z306" s="50">
        <f>_xlfn.ISOWEEKNUM(RecetteTransport2[[#This Row],[Date envoie dossier mesure]])</f>
        <v>52</v>
      </c>
      <c r="AA306" s="50">
        <f>YEAR(RecetteTransport2[[#This Row],[Date envoie dossier mesure]])</f>
        <v>1900</v>
      </c>
      <c r="AB306" s="11"/>
      <c r="AC306" s="11"/>
      <c r="AE306" s="6" t="e">
        <f>RecetteTransport2[[#All],[Nb de reprises Optiques]]/#REF!</f>
        <v>#REF!</v>
      </c>
      <c r="AF306" s="6"/>
    </row>
    <row r="307" spans="1:32" hidden="1" x14ac:dyDescent="0.3">
      <c r="A307" t="s">
        <v>12</v>
      </c>
      <c r="B307" t="s">
        <v>13</v>
      </c>
      <c r="C307" t="s">
        <v>289</v>
      </c>
      <c r="D307" t="s">
        <v>406</v>
      </c>
      <c r="G307" s="11"/>
      <c r="H307" s="11" t="s">
        <v>29</v>
      </c>
      <c r="I307" s="11"/>
      <c r="J307" s="11">
        <f>RecetteTransport2[[#All],[Fibres TC NOK]]</f>
        <v>0</v>
      </c>
      <c r="K307" s="50">
        <f>RecetteTransport2[[#All],[Valeur Critique]]</f>
        <v>0</v>
      </c>
      <c r="L307" s="50">
        <f>AD:AD</f>
        <v>0</v>
      </c>
      <c r="N307" t="s">
        <v>65</v>
      </c>
      <c r="P307">
        <f xml:space="preserve"> _xlfn.ISOWEEKNUM(RecetteTransport2[[#This Row],[Date validation Optique]])</f>
        <v>52</v>
      </c>
      <c r="Q307">
        <f>YEAR(RecetteTransport2[[#This Row],[Date validation Optique]])</f>
        <v>1900</v>
      </c>
      <c r="T307" s="50">
        <f>_xlfn.ISOWEEKNUM(RecetteTransport2[[#This Row],[Date Achevement  Mécanique]])</f>
        <v>52</v>
      </c>
      <c r="U307" s="50">
        <f>YEAR(RecetteTransport2[[#This Row],[Date Achevement  Mécanique]])</f>
        <v>1900</v>
      </c>
      <c r="V307" s="2">
        <v>44267</v>
      </c>
      <c r="W307" s="50">
        <f>_xlfn.ISOWEEKNUM(RecetteTransport2[[#This Row],[Date de mesure]])</f>
        <v>10</v>
      </c>
      <c r="X307" s="11">
        <f>YEAR(RecetteTransport2[[#This Row],[Date de mesure]])</f>
        <v>2021</v>
      </c>
      <c r="Z307" s="50">
        <f>_xlfn.ISOWEEKNUM(RecetteTransport2[[#This Row],[Date envoie dossier mesure]])</f>
        <v>52</v>
      </c>
      <c r="AA307" s="50">
        <f>YEAR(RecetteTransport2[[#This Row],[Date envoie dossier mesure]])</f>
        <v>1900</v>
      </c>
      <c r="AB307" s="11"/>
      <c r="AC307" s="11"/>
      <c r="AE307" s="6" t="e">
        <f>RecetteTransport2[[#All],[Nb de reprises Optiques]]/#REF!</f>
        <v>#REF!</v>
      </c>
      <c r="AF307" s="6"/>
    </row>
    <row r="308" spans="1:32" hidden="1" x14ac:dyDescent="0.3">
      <c r="A308" t="s">
        <v>12</v>
      </c>
      <c r="B308" t="s">
        <v>63</v>
      </c>
      <c r="C308" t="s">
        <v>175</v>
      </c>
      <c r="D308" t="s">
        <v>176</v>
      </c>
      <c r="E308" t="s">
        <v>184</v>
      </c>
      <c r="G308" s="11"/>
      <c r="H308" s="11" t="s">
        <v>29</v>
      </c>
      <c r="I308" s="11" t="s">
        <v>29</v>
      </c>
      <c r="J308" s="11">
        <f>RecetteTransport2[[#All],[Fibres TC NOK]]</f>
        <v>0</v>
      </c>
      <c r="K308" s="50">
        <f>RecetteTransport2[[#All],[Valeur Critique]]</f>
        <v>0</v>
      </c>
      <c r="L308" s="50">
        <f>AD:AD</f>
        <v>7</v>
      </c>
      <c r="N308" t="s">
        <v>65</v>
      </c>
      <c r="P308">
        <f xml:space="preserve"> _xlfn.ISOWEEKNUM(RecetteTransport2[[#This Row],[Date validation Optique]])</f>
        <v>52</v>
      </c>
      <c r="Q308">
        <f>YEAR(RecetteTransport2[[#This Row],[Date validation Optique]])</f>
        <v>1900</v>
      </c>
      <c r="T308" s="50">
        <f>_xlfn.ISOWEEKNUM(RecetteTransport2[[#This Row],[Date Achevement  Mécanique]])</f>
        <v>52</v>
      </c>
      <c r="U308" s="50">
        <f>YEAR(RecetteTransport2[[#This Row],[Date Achevement  Mécanique]])</f>
        <v>1900</v>
      </c>
      <c r="V308" s="2"/>
      <c r="W308" s="50">
        <f>_xlfn.ISOWEEKNUM(RecetteTransport2[[#This Row],[Date de mesure]])</f>
        <v>52</v>
      </c>
      <c r="X308" s="11">
        <f>YEAR(RecetteTransport2[[#This Row],[Date de mesure]])</f>
        <v>1900</v>
      </c>
      <c r="Y308" s="2">
        <v>44168</v>
      </c>
      <c r="Z308" s="50">
        <f>_xlfn.ISOWEEKNUM(RecetteTransport2[[#This Row],[Date envoie dossier mesure]])</f>
        <v>49</v>
      </c>
      <c r="AA308" s="50">
        <f>YEAR(RecetteTransport2[[#This Row],[Date envoie dossier mesure]])</f>
        <v>2020</v>
      </c>
      <c r="AB308" s="11">
        <v>0</v>
      </c>
      <c r="AC308" s="11">
        <v>0</v>
      </c>
      <c r="AD308" s="50">
        <v>7</v>
      </c>
      <c r="AE308" s="6" t="e">
        <f>RecetteTransport2[[#All],[Nb de reprises Optiques]]/#REF!</f>
        <v>#REF!</v>
      </c>
      <c r="AF308" s="6"/>
    </row>
    <row r="309" spans="1:32" hidden="1" x14ac:dyDescent="0.3">
      <c r="A309" t="s">
        <v>12</v>
      </c>
      <c r="B309" t="s">
        <v>63</v>
      </c>
      <c r="C309" t="s">
        <v>177</v>
      </c>
      <c r="D309" t="s">
        <v>199</v>
      </c>
      <c r="G309" s="11"/>
      <c r="H309" s="11" t="s">
        <v>29</v>
      </c>
      <c r="I309" s="11" t="s">
        <v>29</v>
      </c>
      <c r="J309" s="11">
        <f>RecetteTransport2[[#All],[Fibres TC NOK]]</f>
        <v>0</v>
      </c>
      <c r="K309" s="50">
        <f>RecetteTransport2[[#All],[Valeur Critique]]</f>
        <v>0</v>
      </c>
      <c r="L309" s="50">
        <f>AD:AD</f>
        <v>57</v>
      </c>
      <c r="N309" t="s">
        <v>65</v>
      </c>
      <c r="P309">
        <f xml:space="preserve"> _xlfn.ISOWEEKNUM(RecetteTransport2[[#This Row],[Date validation Optique]])</f>
        <v>52</v>
      </c>
      <c r="Q309">
        <f>YEAR(RecetteTransport2[[#This Row],[Date validation Optique]])</f>
        <v>1900</v>
      </c>
      <c r="T309" s="50">
        <f>_xlfn.ISOWEEKNUM(RecetteTransport2[[#This Row],[Date Achevement  Mécanique]])</f>
        <v>52</v>
      </c>
      <c r="U309" s="50">
        <f>YEAR(RecetteTransport2[[#This Row],[Date Achevement  Mécanique]])</f>
        <v>1900</v>
      </c>
      <c r="V309" s="2"/>
      <c r="W309" s="50">
        <f>_xlfn.ISOWEEKNUM(RecetteTransport2[[#This Row],[Date de mesure]])</f>
        <v>52</v>
      </c>
      <c r="X309" s="11">
        <f>YEAR(RecetteTransport2[[#This Row],[Date de mesure]])</f>
        <v>1900</v>
      </c>
      <c r="Y309" s="2">
        <v>44143</v>
      </c>
      <c r="Z309" s="50">
        <f>_xlfn.ISOWEEKNUM(RecetteTransport2[[#This Row],[Date envoie dossier mesure]])</f>
        <v>45</v>
      </c>
      <c r="AA309" s="50">
        <f>YEAR(RecetteTransport2[[#This Row],[Date envoie dossier mesure]])</f>
        <v>2020</v>
      </c>
      <c r="AB309" s="11">
        <v>0</v>
      </c>
      <c r="AC309" s="11">
        <v>0</v>
      </c>
      <c r="AD309" s="50">
        <v>57</v>
      </c>
      <c r="AE309" s="6" t="e">
        <f>RecetteTransport2[[#All],[Nb de reprises Optiques]]/#REF!</f>
        <v>#REF!</v>
      </c>
      <c r="AF309" s="6"/>
    </row>
    <row r="310" spans="1:32" hidden="1" x14ac:dyDescent="0.3">
      <c r="A310" t="s">
        <v>12</v>
      </c>
      <c r="B310" t="s">
        <v>63</v>
      </c>
      <c r="C310" t="s">
        <v>177</v>
      </c>
      <c r="D310" t="s">
        <v>195</v>
      </c>
      <c r="G310" s="11"/>
      <c r="H310" s="11" t="s">
        <v>29</v>
      </c>
      <c r="I310" s="11" t="s">
        <v>29</v>
      </c>
      <c r="J310" s="11">
        <f>RecetteTransport2[[#All],[Fibres TC NOK]]</f>
        <v>0</v>
      </c>
      <c r="K310" s="50">
        <f>RecetteTransport2[[#All],[Valeur Critique]]</f>
        <v>0</v>
      </c>
      <c r="L310" s="50">
        <f>AD:AD</f>
        <v>6</v>
      </c>
      <c r="N310" t="s">
        <v>65</v>
      </c>
      <c r="P310">
        <f xml:space="preserve"> _xlfn.ISOWEEKNUM(RecetteTransport2[[#This Row],[Date validation Optique]])</f>
        <v>52</v>
      </c>
      <c r="Q310">
        <f>YEAR(RecetteTransport2[[#This Row],[Date validation Optique]])</f>
        <v>1900</v>
      </c>
      <c r="T310" s="50">
        <f>_xlfn.ISOWEEKNUM(RecetteTransport2[[#This Row],[Date Achevement  Mécanique]])</f>
        <v>52</v>
      </c>
      <c r="U310" s="50">
        <f>YEAR(RecetteTransport2[[#This Row],[Date Achevement  Mécanique]])</f>
        <v>1900</v>
      </c>
      <c r="V310" s="2">
        <v>44194</v>
      </c>
      <c r="W310" s="50">
        <f>_xlfn.ISOWEEKNUM(RecetteTransport2[[#This Row],[Date de mesure]])</f>
        <v>53</v>
      </c>
      <c r="X310" s="11">
        <f>YEAR(RecetteTransport2[[#This Row],[Date de mesure]])</f>
        <v>2020</v>
      </c>
      <c r="Z310" s="50">
        <f>_xlfn.ISOWEEKNUM(RecetteTransport2[[#This Row],[Date envoie dossier mesure]])</f>
        <v>52</v>
      </c>
      <c r="AA310" s="50">
        <f>YEAR(RecetteTransport2[[#This Row],[Date envoie dossier mesure]])</f>
        <v>1900</v>
      </c>
      <c r="AB310" s="11">
        <v>0</v>
      </c>
      <c r="AC310" s="11">
        <v>0</v>
      </c>
      <c r="AD310" s="50">
        <v>6</v>
      </c>
      <c r="AE310" s="6" t="e">
        <f>RecetteTransport2[[#All],[Nb de reprises Optiques]]/#REF!</f>
        <v>#REF!</v>
      </c>
      <c r="AF310" s="6"/>
    </row>
    <row r="311" spans="1:32" hidden="1" x14ac:dyDescent="0.3">
      <c r="A311" t="s">
        <v>12</v>
      </c>
      <c r="B311" t="s">
        <v>63</v>
      </c>
      <c r="C311" t="s">
        <v>177</v>
      </c>
      <c r="D311" t="s">
        <v>168</v>
      </c>
      <c r="E311">
        <v>4906922</v>
      </c>
      <c r="G311" s="11"/>
      <c r="H311" s="11" t="s">
        <v>29</v>
      </c>
      <c r="I311" s="11" t="s">
        <v>29</v>
      </c>
      <c r="J311" s="11">
        <f>RecetteTransport2[[#All],[Fibres TC NOK]]</f>
        <v>0</v>
      </c>
      <c r="K311" s="50">
        <f>RecetteTransport2[[#All],[Valeur Critique]]</f>
        <v>0</v>
      </c>
      <c r="L311" s="50">
        <f>AD:AD</f>
        <v>1</v>
      </c>
      <c r="N311" t="s">
        <v>65</v>
      </c>
      <c r="P311">
        <f xml:space="preserve"> _xlfn.ISOWEEKNUM(RecetteTransport2[[#This Row],[Date validation Optique]])</f>
        <v>52</v>
      </c>
      <c r="Q311">
        <f>YEAR(RecetteTransport2[[#This Row],[Date validation Optique]])</f>
        <v>1900</v>
      </c>
      <c r="T311" s="50">
        <f>_xlfn.ISOWEEKNUM(RecetteTransport2[[#This Row],[Date Achevement  Mécanique]])</f>
        <v>52</v>
      </c>
      <c r="U311" s="50">
        <f>YEAR(RecetteTransport2[[#This Row],[Date Achevement  Mécanique]])</f>
        <v>1900</v>
      </c>
      <c r="V311" s="2"/>
      <c r="W311" s="50">
        <f>_xlfn.ISOWEEKNUM(RecetteTransport2[[#This Row],[Date de mesure]])</f>
        <v>52</v>
      </c>
      <c r="X311" s="11">
        <f>YEAR(RecetteTransport2[[#This Row],[Date de mesure]])</f>
        <v>1900</v>
      </c>
      <c r="Y311" s="2">
        <v>44143</v>
      </c>
      <c r="Z311" s="50">
        <f>_xlfn.ISOWEEKNUM(RecetteTransport2[[#This Row],[Date envoie dossier mesure]])</f>
        <v>45</v>
      </c>
      <c r="AA311" s="50">
        <f>YEAR(RecetteTransport2[[#This Row],[Date envoie dossier mesure]])</f>
        <v>2020</v>
      </c>
      <c r="AB311" s="11">
        <v>0</v>
      </c>
      <c r="AC311" s="11">
        <v>0</v>
      </c>
      <c r="AD311" s="50">
        <v>1</v>
      </c>
      <c r="AE311" s="6" t="e">
        <f>RecetteTransport2[[#All],[Nb de reprises Optiques]]/#REF!</f>
        <v>#REF!</v>
      </c>
      <c r="AF311" s="6"/>
    </row>
    <row r="312" spans="1:32" hidden="1" x14ac:dyDescent="0.3">
      <c r="A312" t="s">
        <v>12</v>
      </c>
      <c r="B312" t="s">
        <v>63</v>
      </c>
      <c r="C312" t="s">
        <v>177</v>
      </c>
      <c r="D312" t="s">
        <v>196</v>
      </c>
      <c r="G312" s="11"/>
      <c r="H312" s="11" t="s">
        <v>29</v>
      </c>
      <c r="I312" s="11" t="s">
        <v>29</v>
      </c>
      <c r="J312" s="11">
        <f>RecetteTransport2[[#All],[Fibres TC NOK]]</f>
        <v>0</v>
      </c>
      <c r="K312" s="50">
        <f>RecetteTransport2[[#All],[Valeur Critique]]</f>
        <v>0</v>
      </c>
      <c r="L312" s="50">
        <f>AD:AD</f>
        <v>9</v>
      </c>
      <c r="N312" t="s">
        <v>65</v>
      </c>
      <c r="P312">
        <f xml:space="preserve"> _xlfn.ISOWEEKNUM(RecetteTransport2[[#This Row],[Date validation Optique]])</f>
        <v>52</v>
      </c>
      <c r="Q312">
        <f>YEAR(RecetteTransport2[[#This Row],[Date validation Optique]])</f>
        <v>1900</v>
      </c>
      <c r="T312" s="50">
        <f>_xlfn.ISOWEEKNUM(RecetteTransport2[[#This Row],[Date Achevement  Mécanique]])</f>
        <v>52</v>
      </c>
      <c r="U312" s="50">
        <f>YEAR(RecetteTransport2[[#This Row],[Date Achevement  Mécanique]])</f>
        <v>1900</v>
      </c>
      <c r="V312" s="2">
        <v>44194</v>
      </c>
      <c r="W312" s="50">
        <f>_xlfn.ISOWEEKNUM(RecetteTransport2[[#This Row],[Date de mesure]])</f>
        <v>53</v>
      </c>
      <c r="X312" s="11">
        <f>YEAR(RecetteTransport2[[#This Row],[Date de mesure]])</f>
        <v>2020</v>
      </c>
      <c r="Z312" s="50">
        <f>_xlfn.ISOWEEKNUM(RecetteTransport2[[#This Row],[Date envoie dossier mesure]])</f>
        <v>52</v>
      </c>
      <c r="AA312" s="50">
        <f>YEAR(RecetteTransport2[[#This Row],[Date envoie dossier mesure]])</f>
        <v>1900</v>
      </c>
      <c r="AB312" s="11">
        <v>0</v>
      </c>
      <c r="AC312" s="11">
        <v>0</v>
      </c>
      <c r="AD312" s="50">
        <v>9</v>
      </c>
      <c r="AE312" s="6" t="e">
        <f>RecetteTransport2[[#All],[Nb de reprises Optiques]]/#REF!</f>
        <v>#REF!</v>
      </c>
      <c r="AF312" s="6"/>
    </row>
    <row r="313" spans="1:32" x14ac:dyDescent="0.3">
      <c r="A313" t="s">
        <v>12</v>
      </c>
      <c r="D313" t="s">
        <v>570</v>
      </c>
      <c r="G313" s="11"/>
      <c r="H313" s="11"/>
      <c r="I313" s="11"/>
      <c r="J313" s="11">
        <f>RecetteTransport2[[#All],[Fibres TC NOK]]</f>
        <v>0</v>
      </c>
      <c r="K313" s="50">
        <f>RecetteTransport2[[#All],[Valeur Critique]]</f>
        <v>0</v>
      </c>
      <c r="L313" s="50">
        <f>AD:AD</f>
        <v>0</v>
      </c>
      <c r="P313" s="11">
        <f xml:space="preserve"> _xlfn.ISOWEEKNUM(RecetteTransport2[[#This Row],[Date validation Optique]])</f>
        <v>52</v>
      </c>
      <c r="Q313" s="11">
        <f>YEAR(RecetteTransport2[[#This Row],[Date validation Optique]])</f>
        <v>1900</v>
      </c>
      <c r="S313" s="47" t="e">
        <f>#REF!+10</f>
        <v>#REF!</v>
      </c>
      <c r="T313" s="50" t="e">
        <f>_xlfn.ISOWEEKNUM(RecetteTransport2[[#This Row],[Date Achevement  Mécanique]])</f>
        <v>#REF!</v>
      </c>
      <c r="U313" s="50" t="e">
        <f>YEAR(RecetteTransport2[[#This Row],[Date Achevement  Mécanique]])</f>
        <v>#REF!</v>
      </c>
      <c r="V313" s="47"/>
      <c r="W313" s="50">
        <f>_xlfn.ISOWEEKNUM(RecetteTransport2[[#This Row],[Date de mesure]])</f>
        <v>52</v>
      </c>
      <c r="X313" s="11">
        <f>YEAR(RecetteTransport2[[#This Row],[Date de mesure]])</f>
        <v>1900</v>
      </c>
      <c r="Y313" s="47"/>
      <c r="Z313" s="50">
        <f>_xlfn.ISOWEEKNUM(RecetteTransport2[[#This Row],[Date envoie dossier mesure]])</f>
        <v>52</v>
      </c>
      <c r="AA313" s="50">
        <f>YEAR(RecetteTransport2[[#This Row],[Date envoie dossier mesure]])</f>
        <v>1900</v>
      </c>
      <c r="AB313" s="11"/>
      <c r="AC313" s="11"/>
      <c r="AE313" s="6" t="e">
        <f>RecetteTransport2[[#All],[Nb de reprises Optiques]]/#REF!</f>
        <v>#REF!</v>
      </c>
      <c r="AF313" s="6"/>
    </row>
    <row r="314" spans="1:32" hidden="1" x14ac:dyDescent="0.3">
      <c r="A314" t="s">
        <v>12</v>
      </c>
      <c r="B314" t="s">
        <v>63</v>
      </c>
      <c r="C314" t="s">
        <v>177</v>
      </c>
      <c r="D314" t="s">
        <v>178</v>
      </c>
      <c r="E314">
        <v>4906930</v>
      </c>
      <c r="G314" s="11"/>
      <c r="H314" s="11" t="s">
        <v>29</v>
      </c>
      <c r="I314" s="11" t="s">
        <v>29</v>
      </c>
      <c r="J314" s="11">
        <f>RecetteTransport2[[#All],[Fibres TC NOK]]</f>
        <v>0</v>
      </c>
      <c r="K314" s="50">
        <f>RecetteTransport2[[#All],[Valeur Critique]]</f>
        <v>0</v>
      </c>
      <c r="L314" s="50">
        <f>AD:AD</f>
        <v>4</v>
      </c>
      <c r="N314" t="s">
        <v>65</v>
      </c>
      <c r="P314">
        <f xml:space="preserve"> _xlfn.ISOWEEKNUM(RecetteTransport2[[#This Row],[Date validation Optique]])</f>
        <v>52</v>
      </c>
      <c r="Q314">
        <f>YEAR(RecetteTransport2[[#This Row],[Date validation Optique]])</f>
        <v>1900</v>
      </c>
      <c r="T314" s="50">
        <f>_xlfn.ISOWEEKNUM(RecetteTransport2[[#This Row],[Date Achevement  Mécanique]])</f>
        <v>52</v>
      </c>
      <c r="U314" s="50">
        <f>YEAR(RecetteTransport2[[#This Row],[Date Achevement  Mécanique]])</f>
        <v>1900</v>
      </c>
      <c r="V314" s="2"/>
      <c r="W314" s="50">
        <f>_xlfn.ISOWEEKNUM(RecetteTransport2[[#This Row],[Date de mesure]])</f>
        <v>52</v>
      </c>
      <c r="X314" s="11">
        <f>YEAR(RecetteTransport2[[#This Row],[Date de mesure]])</f>
        <v>1900</v>
      </c>
      <c r="Y314" s="2">
        <v>44207</v>
      </c>
      <c r="Z314" s="50">
        <f>_xlfn.ISOWEEKNUM(RecetteTransport2[[#This Row],[Date envoie dossier mesure]])</f>
        <v>2</v>
      </c>
      <c r="AA314" s="50">
        <f>YEAR(RecetteTransport2[[#This Row],[Date envoie dossier mesure]])</f>
        <v>2021</v>
      </c>
      <c r="AB314" s="11">
        <v>0</v>
      </c>
      <c r="AC314" s="11">
        <v>0</v>
      </c>
      <c r="AD314" s="50">
        <v>4</v>
      </c>
      <c r="AE314" s="6" t="e">
        <f>RecetteTransport2[[#All],[Nb de reprises Optiques]]/#REF!</f>
        <v>#REF!</v>
      </c>
      <c r="AF314" s="6"/>
    </row>
    <row r="315" spans="1:32" x14ac:dyDescent="0.3">
      <c r="A315" t="s">
        <v>12</v>
      </c>
      <c r="D315" t="s">
        <v>571</v>
      </c>
      <c r="G315" s="11"/>
      <c r="H315" s="11"/>
      <c r="I315" s="11"/>
      <c r="J315" s="11">
        <f>RecetteTransport2[[#All],[Fibres TC NOK]]</f>
        <v>0</v>
      </c>
      <c r="K315" s="50">
        <f>RecetteTransport2[[#All],[Valeur Critique]]</f>
        <v>0</v>
      </c>
      <c r="L315" s="50">
        <f t="shared" ref="L315:L317" si="19">AD:AD</f>
        <v>0</v>
      </c>
      <c r="P315" s="11">
        <f xml:space="preserve"> _xlfn.ISOWEEKNUM(RecetteTransport2[[#This Row],[Date validation Optique]])</f>
        <v>52</v>
      </c>
      <c r="Q315" s="11">
        <f>YEAR(RecetteTransport2[[#This Row],[Date validation Optique]])</f>
        <v>1900</v>
      </c>
      <c r="S315" s="47" t="e">
        <f>#REF!+10</f>
        <v>#REF!</v>
      </c>
      <c r="T315" s="50" t="e">
        <f>_xlfn.ISOWEEKNUM(RecetteTransport2[[#This Row],[Date Achevement  Mécanique]])</f>
        <v>#REF!</v>
      </c>
      <c r="U315" s="50" t="e">
        <f>YEAR(RecetteTransport2[[#This Row],[Date Achevement  Mécanique]])</f>
        <v>#REF!</v>
      </c>
      <c r="V315" s="47"/>
      <c r="W315" s="50">
        <f>_xlfn.ISOWEEKNUM(RecetteTransport2[[#This Row],[Date de mesure]])</f>
        <v>52</v>
      </c>
      <c r="X315" s="11">
        <f>YEAR(RecetteTransport2[[#This Row],[Date de mesure]])</f>
        <v>1900</v>
      </c>
      <c r="Y315" s="47"/>
      <c r="Z315" s="50">
        <f>_xlfn.ISOWEEKNUM(RecetteTransport2[[#This Row],[Date envoie dossier mesure]])</f>
        <v>52</v>
      </c>
      <c r="AA315" s="50">
        <f>YEAR(RecetteTransport2[[#This Row],[Date envoie dossier mesure]])</f>
        <v>1900</v>
      </c>
      <c r="AB315" s="11"/>
      <c r="AC315" s="11"/>
      <c r="AE315" s="6" t="e">
        <f>RecetteTransport2[[#All],[Nb de reprises Optiques]]/#REF!</f>
        <v>#REF!</v>
      </c>
      <c r="AF315" s="6"/>
    </row>
    <row r="316" spans="1:32" x14ac:dyDescent="0.3">
      <c r="A316" t="s">
        <v>12</v>
      </c>
      <c r="D316" t="s">
        <v>572</v>
      </c>
      <c r="G316" s="11"/>
      <c r="H316" s="11"/>
      <c r="I316" s="11"/>
      <c r="J316" s="11">
        <f>RecetteTransport2[[#All],[Fibres TC NOK]]</f>
        <v>0</v>
      </c>
      <c r="K316" s="50">
        <f>RecetteTransport2[[#All],[Valeur Critique]]</f>
        <v>0</v>
      </c>
      <c r="L316" s="50">
        <f t="shared" si="19"/>
        <v>0</v>
      </c>
      <c r="P316" s="11">
        <f xml:space="preserve"> _xlfn.ISOWEEKNUM(RecetteTransport2[[#This Row],[Date validation Optique]])</f>
        <v>52</v>
      </c>
      <c r="Q316" s="11">
        <f>YEAR(RecetteTransport2[[#This Row],[Date validation Optique]])</f>
        <v>1900</v>
      </c>
      <c r="S316" s="47" t="e">
        <f>#REF!+10</f>
        <v>#REF!</v>
      </c>
      <c r="T316" s="50" t="e">
        <f>_xlfn.ISOWEEKNUM(RecetteTransport2[[#This Row],[Date Achevement  Mécanique]])</f>
        <v>#REF!</v>
      </c>
      <c r="U316" s="50" t="e">
        <f>YEAR(RecetteTransport2[[#This Row],[Date Achevement  Mécanique]])</f>
        <v>#REF!</v>
      </c>
      <c r="V316" s="47"/>
      <c r="W316" s="50">
        <f>_xlfn.ISOWEEKNUM(RecetteTransport2[[#This Row],[Date de mesure]])</f>
        <v>52</v>
      </c>
      <c r="X316" s="11">
        <f>YEAR(RecetteTransport2[[#This Row],[Date de mesure]])</f>
        <v>1900</v>
      </c>
      <c r="Y316" s="47"/>
      <c r="Z316" s="50">
        <f>_xlfn.ISOWEEKNUM(RecetteTransport2[[#This Row],[Date envoie dossier mesure]])</f>
        <v>52</v>
      </c>
      <c r="AA316" s="50">
        <f>YEAR(RecetteTransport2[[#This Row],[Date envoie dossier mesure]])</f>
        <v>1900</v>
      </c>
      <c r="AB316" s="11"/>
      <c r="AC316" s="11"/>
      <c r="AE316" s="6" t="e">
        <f>RecetteTransport2[[#All],[Nb de reprises Optiques]]/#REF!</f>
        <v>#REF!</v>
      </c>
      <c r="AF316" s="6"/>
    </row>
    <row r="317" spans="1:32" x14ac:dyDescent="0.3">
      <c r="A317" t="s">
        <v>12</v>
      </c>
      <c r="D317" t="s">
        <v>573</v>
      </c>
      <c r="G317" s="11"/>
      <c r="H317" s="11"/>
      <c r="I317" s="11"/>
      <c r="J317" s="11">
        <f>RecetteTransport2[[#All],[Fibres TC NOK]]</f>
        <v>0</v>
      </c>
      <c r="K317" s="50">
        <f>RecetteTransport2[[#All],[Valeur Critique]]</f>
        <v>0</v>
      </c>
      <c r="L317" s="50">
        <f t="shared" si="19"/>
        <v>0</v>
      </c>
      <c r="P317" s="11">
        <f xml:space="preserve"> _xlfn.ISOWEEKNUM(RecetteTransport2[[#This Row],[Date validation Optique]])</f>
        <v>52</v>
      </c>
      <c r="Q317" s="11">
        <f>YEAR(RecetteTransport2[[#This Row],[Date validation Optique]])</f>
        <v>1900</v>
      </c>
      <c r="S317" s="47" t="e">
        <f>#REF!+10</f>
        <v>#REF!</v>
      </c>
      <c r="T317" s="50" t="e">
        <f>_xlfn.ISOWEEKNUM(RecetteTransport2[[#This Row],[Date Achevement  Mécanique]])</f>
        <v>#REF!</v>
      </c>
      <c r="U317" s="50" t="e">
        <f>YEAR(RecetteTransport2[[#This Row],[Date Achevement  Mécanique]])</f>
        <v>#REF!</v>
      </c>
      <c r="V317" s="47"/>
      <c r="W317" s="50">
        <f>_xlfn.ISOWEEKNUM(RecetteTransport2[[#This Row],[Date de mesure]])</f>
        <v>52</v>
      </c>
      <c r="X317" s="11">
        <f>YEAR(RecetteTransport2[[#This Row],[Date de mesure]])</f>
        <v>1900</v>
      </c>
      <c r="Y317" s="47"/>
      <c r="Z317" s="50">
        <f>_xlfn.ISOWEEKNUM(RecetteTransport2[[#This Row],[Date envoie dossier mesure]])</f>
        <v>52</v>
      </c>
      <c r="AA317" s="50">
        <f>YEAR(RecetteTransport2[[#This Row],[Date envoie dossier mesure]])</f>
        <v>1900</v>
      </c>
      <c r="AB317" s="11"/>
      <c r="AC317" s="11"/>
      <c r="AE317" s="6" t="e">
        <f>RecetteTransport2[[#All],[Nb de reprises Optiques]]/#REF!</f>
        <v>#REF!</v>
      </c>
      <c r="AF317" s="6"/>
    </row>
    <row r="318" spans="1:32" hidden="1" x14ac:dyDescent="0.3">
      <c r="A318" t="s">
        <v>12</v>
      </c>
      <c r="B318" t="s">
        <v>13</v>
      </c>
      <c r="C318" t="s">
        <v>279</v>
      </c>
      <c r="D318" t="s">
        <v>280</v>
      </c>
      <c r="G318" s="11"/>
      <c r="H318" s="11" t="s">
        <v>29</v>
      </c>
      <c r="I318" s="11"/>
      <c r="J318" s="11">
        <f>RecetteTransport2[[#All],[Fibres TC NOK]]</f>
        <v>0</v>
      </c>
      <c r="K318" s="50">
        <f>RecetteTransport2[[#All],[Valeur Critique]]</f>
        <v>0</v>
      </c>
      <c r="L318" s="50">
        <f>AD:AD</f>
        <v>0</v>
      </c>
      <c r="N318" t="s">
        <v>65</v>
      </c>
      <c r="P318">
        <f xml:space="preserve"> _xlfn.ISOWEEKNUM(RecetteTransport2[[#This Row],[Date validation Optique]])</f>
        <v>52</v>
      </c>
      <c r="Q318">
        <f>YEAR(RecetteTransport2[[#This Row],[Date validation Optique]])</f>
        <v>1900</v>
      </c>
      <c r="T318" s="50">
        <f>_xlfn.ISOWEEKNUM(RecetteTransport2[[#This Row],[Date Achevement  Mécanique]])</f>
        <v>52</v>
      </c>
      <c r="U318" s="50">
        <f>YEAR(RecetteTransport2[[#This Row],[Date Achevement  Mécanique]])</f>
        <v>1900</v>
      </c>
      <c r="V318" s="2">
        <v>44265</v>
      </c>
      <c r="W318" s="50">
        <f>_xlfn.ISOWEEKNUM(RecetteTransport2[[#This Row],[Date de mesure]])</f>
        <v>10</v>
      </c>
      <c r="X318" s="11">
        <f>YEAR(RecetteTransport2[[#This Row],[Date de mesure]])</f>
        <v>2021</v>
      </c>
      <c r="Z318" s="50">
        <f>_xlfn.ISOWEEKNUM(RecetteTransport2[[#This Row],[Date envoie dossier mesure]])</f>
        <v>52</v>
      </c>
      <c r="AA318" s="50">
        <f>YEAR(RecetteTransport2[[#This Row],[Date envoie dossier mesure]])</f>
        <v>1900</v>
      </c>
      <c r="AB318" s="11"/>
      <c r="AC318" s="11"/>
      <c r="AE318" s="6" t="e">
        <f>RecetteTransport2[[#All],[Nb de reprises Optiques]]/#REF!</f>
        <v>#REF!</v>
      </c>
      <c r="AF318" s="6"/>
    </row>
    <row r="319" spans="1:32" x14ac:dyDescent="0.3">
      <c r="A319" t="s">
        <v>12</v>
      </c>
      <c r="B319" t="s">
        <v>13</v>
      </c>
      <c r="D319" t="s">
        <v>574</v>
      </c>
      <c r="G319" s="11"/>
      <c r="H319" s="11"/>
      <c r="I319" s="11"/>
      <c r="J319" s="11">
        <f>RecetteTransport2[[#All],[Fibres TC NOK]]</f>
        <v>0</v>
      </c>
      <c r="K319" s="50">
        <f>RecetteTransport2[[#All],[Valeur Critique]]</f>
        <v>0</v>
      </c>
      <c r="L319" s="50">
        <f t="shared" ref="L319:L320" si="20">AD:AD</f>
        <v>0</v>
      </c>
      <c r="P319" s="11">
        <f xml:space="preserve"> _xlfn.ISOWEEKNUM(RecetteTransport2[[#This Row],[Date validation Optique]])</f>
        <v>52</v>
      </c>
      <c r="Q319" s="11">
        <f>YEAR(RecetteTransport2[[#This Row],[Date validation Optique]])</f>
        <v>1900</v>
      </c>
      <c r="S319" s="47" t="e">
        <f>#REF!+10</f>
        <v>#REF!</v>
      </c>
      <c r="T319" s="50" t="e">
        <f>_xlfn.ISOWEEKNUM(RecetteTransport2[[#This Row],[Date Achevement  Mécanique]])</f>
        <v>#REF!</v>
      </c>
      <c r="U319" s="50" t="e">
        <f>YEAR(RecetteTransport2[[#This Row],[Date Achevement  Mécanique]])</f>
        <v>#REF!</v>
      </c>
      <c r="V319" s="47"/>
      <c r="W319" s="50">
        <f>_xlfn.ISOWEEKNUM(RecetteTransport2[[#This Row],[Date de mesure]])</f>
        <v>52</v>
      </c>
      <c r="X319" s="11">
        <f>YEAR(RecetteTransport2[[#This Row],[Date de mesure]])</f>
        <v>1900</v>
      </c>
      <c r="Y319" s="47"/>
      <c r="Z319" s="50">
        <f>_xlfn.ISOWEEKNUM(RecetteTransport2[[#This Row],[Date envoie dossier mesure]])</f>
        <v>52</v>
      </c>
      <c r="AA319" s="50">
        <f>YEAR(RecetteTransport2[[#This Row],[Date envoie dossier mesure]])</f>
        <v>1900</v>
      </c>
      <c r="AB319" s="11"/>
      <c r="AC319" s="11"/>
      <c r="AE319" s="6" t="e">
        <f>RecetteTransport2[[#All],[Nb de reprises Optiques]]/#REF!</f>
        <v>#REF!</v>
      </c>
      <c r="AF319" s="6"/>
    </row>
    <row r="320" spans="1:32" x14ac:dyDescent="0.3">
      <c r="A320" t="s">
        <v>12</v>
      </c>
      <c r="D320" t="s">
        <v>575</v>
      </c>
      <c r="G320" s="11"/>
      <c r="H320" s="11"/>
      <c r="I320" s="11"/>
      <c r="J320" s="11">
        <f>RecetteTransport2[[#All],[Fibres TC NOK]]</f>
        <v>0</v>
      </c>
      <c r="K320" s="50">
        <f>RecetteTransport2[[#All],[Valeur Critique]]</f>
        <v>0</v>
      </c>
      <c r="L320" s="50">
        <f t="shared" si="20"/>
        <v>0</v>
      </c>
      <c r="P320" s="11">
        <f xml:space="preserve"> _xlfn.ISOWEEKNUM(RecetteTransport2[[#This Row],[Date validation Optique]])</f>
        <v>52</v>
      </c>
      <c r="Q320" s="11">
        <f>YEAR(RecetteTransport2[[#This Row],[Date validation Optique]])</f>
        <v>1900</v>
      </c>
      <c r="S320" s="47" t="e">
        <f>#REF!+10</f>
        <v>#REF!</v>
      </c>
      <c r="T320" s="50" t="e">
        <f>_xlfn.ISOWEEKNUM(RecetteTransport2[[#This Row],[Date Achevement  Mécanique]])</f>
        <v>#REF!</v>
      </c>
      <c r="U320" s="50" t="e">
        <f>YEAR(RecetteTransport2[[#This Row],[Date Achevement  Mécanique]])</f>
        <v>#REF!</v>
      </c>
      <c r="V320" s="47"/>
      <c r="W320" s="50">
        <f>_xlfn.ISOWEEKNUM(RecetteTransport2[[#This Row],[Date de mesure]])</f>
        <v>52</v>
      </c>
      <c r="X320" s="11">
        <f>YEAR(RecetteTransport2[[#This Row],[Date de mesure]])</f>
        <v>1900</v>
      </c>
      <c r="Y320" s="47"/>
      <c r="Z320" s="50">
        <f>_xlfn.ISOWEEKNUM(RecetteTransport2[[#This Row],[Date envoie dossier mesure]])</f>
        <v>52</v>
      </c>
      <c r="AA320" s="50">
        <f>YEAR(RecetteTransport2[[#This Row],[Date envoie dossier mesure]])</f>
        <v>1900</v>
      </c>
      <c r="AB320" s="11"/>
      <c r="AC320" s="11"/>
      <c r="AE320" s="6" t="e">
        <f>RecetteTransport2[[#All],[Nb de reprises Optiques]]/#REF!</f>
        <v>#REF!</v>
      </c>
      <c r="AF320" s="6"/>
    </row>
    <row r="321" spans="1:32" hidden="1" x14ac:dyDescent="0.3">
      <c r="A321" t="s">
        <v>12</v>
      </c>
      <c r="B321" t="s">
        <v>19</v>
      </c>
      <c r="C321" t="s">
        <v>86</v>
      </c>
      <c r="D321" t="s">
        <v>87</v>
      </c>
      <c r="G321" s="11"/>
      <c r="H321" s="11" t="s">
        <v>29</v>
      </c>
      <c r="I321" s="11" t="s">
        <v>29</v>
      </c>
      <c r="J321" s="11">
        <f>RecetteTransport2[[#All],[Fibres TC NOK]]</f>
        <v>0</v>
      </c>
      <c r="K321" s="50">
        <f>RecetteTransport2[[#All],[Valeur Critique]]</f>
        <v>0</v>
      </c>
      <c r="L321" s="50">
        <f>AD:AD</f>
        <v>52</v>
      </c>
      <c r="N321" t="s">
        <v>389</v>
      </c>
      <c r="O321" s="2">
        <v>44237</v>
      </c>
      <c r="P321">
        <f xml:space="preserve"> _xlfn.ISOWEEKNUM(RecetteTransport2[[#This Row],[Date validation Optique]])</f>
        <v>6</v>
      </c>
      <c r="Q321">
        <f>YEAR(RecetteTransport2[[#This Row],[Date validation Optique]])</f>
        <v>2021</v>
      </c>
      <c r="T321" s="50">
        <f>_xlfn.ISOWEEKNUM(RecetteTransport2[[#This Row],[Date Achevement  Mécanique]])</f>
        <v>52</v>
      </c>
      <c r="U321" s="50">
        <f>YEAR(RecetteTransport2[[#This Row],[Date Achevement  Mécanique]])</f>
        <v>1900</v>
      </c>
      <c r="V321" s="2"/>
      <c r="W321" s="50">
        <f>_xlfn.ISOWEEKNUM(RecetteTransport2[[#This Row],[Date de mesure]])</f>
        <v>52</v>
      </c>
      <c r="X321" s="11">
        <f>YEAR(RecetteTransport2[[#This Row],[Date de mesure]])</f>
        <v>1900</v>
      </c>
      <c r="Y321" s="2">
        <v>44194</v>
      </c>
      <c r="Z321" s="50">
        <f>_xlfn.ISOWEEKNUM(RecetteTransport2[[#This Row],[Date envoie dossier mesure]])</f>
        <v>53</v>
      </c>
      <c r="AA321" s="50">
        <f>YEAR(RecetteTransport2[[#This Row],[Date envoie dossier mesure]])</f>
        <v>2020</v>
      </c>
      <c r="AB321" s="11">
        <v>0</v>
      </c>
      <c r="AC321" s="11">
        <v>0</v>
      </c>
      <c r="AD321" s="50">
        <v>52</v>
      </c>
      <c r="AE321" s="6" t="e">
        <f>RecetteTransport2[[#All],[Nb de reprises Optiques]]/#REF!</f>
        <v>#REF!</v>
      </c>
      <c r="AF321" s="2">
        <v>44215</v>
      </c>
    </row>
    <row r="322" spans="1:32" x14ac:dyDescent="0.3">
      <c r="A322" t="s">
        <v>12</v>
      </c>
      <c r="B322" t="s">
        <v>19</v>
      </c>
      <c r="C322" t="s">
        <v>86</v>
      </c>
      <c r="D322" t="s">
        <v>576</v>
      </c>
      <c r="G322" s="11"/>
      <c r="H322" s="11"/>
      <c r="I322" s="11"/>
      <c r="J322" s="11">
        <f>RecetteTransport2[[#All],[Fibres TC NOK]]</f>
        <v>0</v>
      </c>
      <c r="K322" s="50">
        <f>RecetteTransport2[[#All],[Valeur Critique]]</f>
        <v>0</v>
      </c>
      <c r="L322" s="50">
        <f t="shared" ref="L322:L324" si="21">AD:AD</f>
        <v>0</v>
      </c>
      <c r="O322" s="2"/>
      <c r="P322" s="11">
        <f xml:space="preserve"> _xlfn.ISOWEEKNUM(RecetteTransport2[[#This Row],[Date validation Optique]])</f>
        <v>52</v>
      </c>
      <c r="Q322" s="11">
        <f>YEAR(RecetteTransport2[[#This Row],[Date validation Optique]])</f>
        <v>1900</v>
      </c>
      <c r="S322" s="47" t="e">
        <f>#REF!+10</f>
        <v>#REF!</v>
      </c>
      <c r="T322" s="50" t="e">
        <f>_xlfn.ISOWEEKNUM(RecetteTransport2[[#This Row],[Date Achevement  Mécanique]])</f>
        <v>#REF!</v>
      </c>
      <c r="U322" s="50" t="e">
        <f>YEAR(RecetteTransport2[[#This Row],[Date Achevement  Mécanique]])</f>
        <v>#REF!</v>
      </c>
      <c r="V322" s="47"/>
      <c r="W322" s="50">
        <f>_xlfn.ISOWEEKNUM(RecetteTransport2[[#This Row],[Date de mesure]])</f>
        <v>52</v>
      </c>
      <c r="X322" s="11">
        <f>YEAR(RecetteTransport2[[#This Row],[Date de mesure]])</f>
        <v>1900</v>
      </c>
      <c r="Y322" s="47"/>
      <c r="Z322" s="50">
        <f>_xlfn.ISOWEEKNUM(RecetteTransport2[[#This Row],[Date envoie dossier mesure]])</f>
        <v>52</v>
      </c>
      <c r="AA322" s="50">
        <f>YEAR(RecetteTransport2[[#This Row],[Date envoie dossier mesure]])</f>
        <v>1900</v>
      </c>
      <c r="AB322" s="11"/>
      <c r="AC322" s="11"/>
      <c r="AE322" s="6" t="e">
        <f>RecetteTransport2[[#All],[Nb de reprises Optiques]]/#REF!</f>
        <v>#REF!</v>
      </c>
      <c r="AF322" s="6"/>
    </row>
    <row r="323" spans="1:32" x14ac:dyDescent="0.3">
      <c r="A323" t="s">
        <v>12</v>
      </c>
      <c r="B323" t="s">
        <v>19</v>
      </c>
      <c r="C323" t="s">
        <v>86</v>
      </c>
      <c r="D323" t="s">
        <v>577</v>
      </c>
      <c r="G323" s="11"/>
      <c r="H323" s="11"/>
      <c r="I323" s="11"/>
      <c r="J323" s="11">
        <f>RecetteTransport2[[#All],[Fibres TC NOK]]</f>
        <v>0</v>
      </c>
      <c r="K323" s="50">
        <f>RecetteTransport2[[#All],[Valeur Critique]]</f>
        <v>0</v>
      </c>
      <c r="L323" s="50">
        <f t="shared" si="21"/>
        <v>0</v>
      </c>
      <c r="O323" s="2"/>
      <c r="P323" s="11">
        <f xml:space="preserve"> _xlfn.ISOWEEKNUM(RecetteTransport2[[#This Row],[Date validation Optique]])</f>
        <v>52</v>
      </c>
      <c r="Q323" s="11">
        <f>YEAR(RecetteTransport2[[#This Row],[Date validation Optique]])</f>
        <v>1900</v>
      </c>
      <c r="S323" s="47" t="e">
        <f>#REF!+10</f>
        <v>#REF!</v>
      </c>
      <c r="T323" s="50" t="e">
        <f>_xlfn.ISOWEEKNUM(RecetteTransport2[[#This Row],[Date Achevement  Mécanique]])</f>
        <v>#REF!</v>
      </c>
      <c r="U323" s="50" t="e">
        <f>YEAR(RecetteTransport2[[#This Row],[Date Achevement  Mécanique]])</f>
        <v>#REF!</v>
      </c>
      <c r="V323" s="47"/>
      <c r="W323" s="50">
        <f>_xlfn.ISOWEEKNUM(RecetteTransport2[[#This Row],[Date de mesure]])</f>
        <v>52</v>
      </c>
      <c r="X323" s="11">
        <f>YEAR(RecetteTransport2[[#This Row],[Date de mesure]])</f>
        <v>1900</v>
      </c>
      <c r="Y323" s="47"/>
      <c r="Z323" s="50">
        <f>_xlfn.ISOWEEKNUM(RecetteTransport2[[#This Row],[Date envoie dossier mesure]])</f>
        <v>52</v>
      </c>
      <c r="AA323" s="50">
        <f>YEAR(RecetteTransport2[[#This Row],[Date envoie dossier mesure]])</f>
        <v>1900</v>
      </c>
      <c r="AB323" s="11"/>
      <c r="AC323" s="11"/>
      <c r="AE323" s="6" t="e">
        <f>RecetteTransport2[[#All],[Nb de reprises Optiques]]/#REF!</f>
        <v>#REF!</v>
      </c>
      <c r="AF323" s="6"/>
    </row>
    <row r="324" spans="1:32" x14ac:dyDescent="0.3">
      <c r="A324" t="s">
        <v>12</v>
      </c>
      <c r="B324" t="s">
        <v>19</v>
      </c>
      <c r="C324" t="s">
        <v>86</v>
      </c>
      <c r="D324" t="s">
        <v>578</v>
      </c>
      <c r="G324" s="11"/>
      <c r="H324" s="11"/>
      <c r="I324" s="11"/>
      <c r="J324" s="11">
        <f>RecetteTransport2[[#All],[Fibres TC NOK]]</f>
        <v>0</v>
      </c>
      <c r="K324" s="50">
        <f>RecetteTransport2[[#All],[Valeur Critique]]</f>
        <v>0</v>
      </c>
      <c r="L324" s="50">
        <f t="shared" si="21"/>
        <v>0</v>
      </c>
      <c r="O324" s="2"/>
      <c r="P324" s="11">
        <f xml:space="preserve"> _xlfn.ISOWEEKNUM(RecetteTransport2[[#This Row],[Date validation Optique]])</f>
        <v>52</v>
      </c>
      <c r="Q324" s="11">
        <f>YEAR(RecetteTransport2[[#This Row],[Date validation Optique]])</f>
        <v>1900</v>
      </c>
      <c r="S324" s="47" t="e">
        <f>#REF!+10</f>
        <v>#REF!</v>
      </c>
      <c r="T324" s="50" t="e">
        <f>_xlfn.ISOWEEKNUM(RecetteTransport2[[#This Row],[Date Achevement  Mécanique]])</f>
        <v>#REF!</v>
      </c>
      <c r="U324" s="50" t="e">
        <f>YEAR(RecetteTransport2[[#This Row],[Date Achevement  Mécanique]])</f>
        <v>#REF!</v>
      </c>
      <c r="V324" s="47"/>
      <c r="W324" s="50">
        <f>_xlfn.ISOWEEKNUM(RecetteTransport2[[#This Row],[Date de mesure]])</f>
        <v>52</v>
      </c>
      <c r="X324" s="11">
        <f>YEAR(RecetteTransport2[[#This Row],[Date de mesure]])</f>
        <v>1900</v>
      </c>
      <c r="Y324" s="47"/>
      <c r="Z324" s="50">
        <f>_xlfn.ISOWEEKNUM(RecetteTransport2[[#This Row],[Date envoie dossier mesure]])</f>
        <v>52</v>
      </c>
      <c r="AA324" s="50">
        <f>YEAR(RecetteTransport2[[#This Row],[Date envoie dossier mesure]])</f>
        <v>1900</v>
      </c>
      <c r="AB324" s="11"/>
      <c r="AC324" s="11"/>
      <c r="AE324" s="6" t="e">
        <f>RecetteTransport2[[#All],[Nb de reprises Optiques]]/#REF!</f>
        <v>#REF!</v>
      </c>
      <c r="AF324" s="6"/>
    </row>
    <row r="325" spans="1:32" hidden="1" x14ac:dyDescent="0.3">
      <c r="A325" t="s">
        <v>12</v>
      </c>
      <c r="B325" t="s">
        <v>19</v>
      </c>
      <c r="C325" t="s">
        <v>86</v>
      </c>
      <c r="D325" t="s">
        <v>179</v>
      </c>
      <c r="E325" t="s">
        <v>185</v>
      </c>
      <c r="G325" s="11"/>
      <c r="H325" s="11" t="s">
        <v>29</v>
      </c>
      <c r="I325" s="11" t="s">
        <v>29</v>
      </c>
      <c r="J325" s="11">
        <f>RecetteTransport2[[#All],[Fibres TC NOK]]</f>
        <v>0</v>
      </c>
      <c r="K325" s="50">
        <f>RecetteTransport2[[#All],[Valeur Critique]]</f>
        <v>0</v>
      </c>
      <c r="L325" s="50">
        <f>AD:AD</f>
        <v>0</v>
      </c>
      <c r="N325" t="s">
        <v>396</v>
      </c>
      <c r="O325" s="2">
        <v>44237</v>
      </c>
      <c r="P325">
        <f xml:space="preserve"> _xlfn.ISOWEEKNUM(RecetteTransport2[[#This Row],[Date validation Optique]])</f>
        <v>6</v>
      </c>
      <c r="Q325">
        <f>YEAR(RecetteTransport2[[#This Row],[Date validation Optique]])</f>
        <v>2021</v>
      </c>
      <c r="T325" s="50">
        <f>_xlfn.ISOWEEKNUM(RecetteTransport2[[#This Row],[Date Achevement  Mécanique]])</f>
        <v>52</v>
      </c>
      <c r="U325" s="50">
        <f>YEAR(RecetteTransport2[[#This Row],[Date Achevement  Mécanique]])</f>
        <v>1900</v>
      </c>
      <c r="V325" s="2"/>
      <c r="W325" s="50">
        <f>_xlfn.ISOWEEKNUM(RecetteTransport2[[#This Row],[Date de mesure]])</f>
        <v>52</v>
      </c>
      <c r="X325" s="11">
        <f>YEAR(RecetteTransport2[[#This Row],[Date de mesure]])</f>
        <v>1900</v>
      </c>
      <c r="Y325" s="2">
        <v>44194</v>
      </c>
      <c r="Z325" s="50">
        <f>_xlfn.ISOWEEKNUM(RecetteTransport2[[#This Row],[Date envoie dossier mesure]])</f>
        <v>53</v>
      </c>
      <c r="AA325" s="50">
        <f>YEAR(RecetteTransport2[[#This Row],[Date envoie dossier mesure]])</f>
        <v>2020</v>
      </c>
      <c r="AB325" s="11">
        <v>0</v>
      </c>
      <c r="AC325" s="11">
        <v>0</v>
      </c>
      <c r="AD325" s="50">
        <v>0</v>
      </c>
      <c r="AE325" s="6" t="e">
        <f>RecetteTransport2[[#All],[Nb de reprises Optiques]]/#REF!</f>
        <v>#REF!</v>
      </c>
      <c r="AF325" s="2">
        <v>44215</v>
      </c>
    </row>
    <row r="326" spans="1:32" x14ac:dyDescent="0.3">
      <c r="A326" t="s">
        <v>12</v>
      </c>
      <c r="B326" t="s">
        <v>19</v>
      </c>
      <c r="C326" t="s">
        <v>86</v>
      </c>
      <c r="D326" t="s">
        <v>579</v>
      </c>
      <c r="G326" s="11"/>
      <c r="H326" s="11"/>
      <c r="I326" s="11"/>
      <c r="J326" s="11">
        <f>RecetteTransport2[[#All],[Fibres TC NOK]]</f>
        <v>0</v>
      </c>
      <c r="K326" s="50">
        <f>RecetteTransport2[[#All],[Valeur Critique]]</f>
        <v>0</v>
      </c>
      <c r="L326" s="50">
        <f t="shared" ref="L326:L327" si="22">AD:AD</f>
        <v>0</v>
      </c>
      <c r="O326" s="2"/>
      <c r="P326" s="11">
        <f xml:space="preserve"> _xlfn.ISOWEEKNUM(RecetteTransport2[[#This Row],[Date validation Optique]])</f>
        <v>52</v>
      </c>
      <c r="Q326" s="11">
        <f>YEAR(RecetteTransport2[[#This Row],[Date validation Optique]])</f>
        <v>1900</v>
      </c>
      <c r="S326" s="47" t="e">
        <f>#REF!+10</f>
        <v>#REF!</v>
      </c>
      <c r="T326" s="50" t="e">
        <f>_xlfn.ISOWEEKNUM(RecetteTransport2[[#This Row],[Date Achevement  Mécanique]])</f>
        <v>#REF!</v>
      </c>
      <c r="U326" s="50" t="e">
        <f>YEAR(RecetteTransport2[[#This Row],[Date Achevement  Mécanique]])</f>
        <v>#REF!</v>
      </c>
      <c r="V326" s="47"/>
      <c r="W326" s="50">
        <f>_xlfn.ISOWEEKNUM(RecetteTransport2[[#This Row],[Date de mesure]])</f>
        <v>52</v>
      </c>
      <c r="X326" s="11">
        <f>YEAR(RecetteTransport2[[#This Row],[Date de mesure]])</f>
        <v>1900</v>
      </c>
      <c r="Y326" s="47"/>
      <c r="Z326" s="50">
        <f>_xlfn.ISOWEEKNUM(RecetteTransport2[[#This Row],[Date envoie dossier mesure]])</f>
        <v>52</v>
      </c>
      <c r="AA326" s="50">
        <f>YEAR(RecetteTransport2[[#This Row],[Date envoie dossier mesure]])</f>
        <v>1900</v>
      </c>
      <c r="AB326" s="11"/>
      <c r="AC326" s="11"/>
      <c r="AE326" s="6" t="e">
        <f>RecetteTransport2[[#All],[Nb de reprises Optiques]]/#REF!</f>
        <v>#REF!</v>
      </c>
      <c r="AF326" s="6"/>
    </row>
    <row r="327" spans="1:32" x14ac:dyDescent="0.3">
      <c r="A327" t="s">
        <v>12</v>
      </c>
      <c r="B327" t="s">
        <v>19</v>
      </c>
      <c r="C327" t="s">
        <v>86</v>
      </c>
      <c r="D327" t="s">
        <v>580</v>
      </c>
      <c r="G327" s="11"/>
      <c r="H327" s="11"/>
      <c r="I327" s="11"/>
      <c r="J327" s="11">
        <f>RecetteTransport2[[#All],[Fibres TC NOK]]</f>
        <v>0</v>
      </c>
      <c r="K327" s="50">
        <f>RecetteTransport2[[#All],[Valeur Critique]]</f>
        <v>0</v>
      </c>
      <c r="L327" s="50">
        <f t="shared" si="22"/>
        <v>0</v>
      </c>
      <c r="O327" s="2"/>
      <c r="P327" s="11">
        <f xml:space="preserve"> _xlfn.ISOWEEKNUM(RecetteTransport2[[#This Row],[Date validation Optique]])</f>
        <v>52</v>
      </c>
      <c r="Q327" s="11">
        <f>YEAR(RecetteTransport2[[#This Row],[Date validation Optique]])</f>
        <v>1900</v>
      </c>
      <c r="S327" s="47" t="e">
        <f>#REF!+10</f>
        <v>#REF!</v>
      </c>
      <c r="T327" s="50" t="e">
        <f>_xlfn.ISOWEEKNUM(RecetteTransport2[[#This Row],[Date Achevement  Mécanique]])</f>
        <v>#REF!</v>
      </c>
      <c r="U327" s="50" t="e">
        <f>YEAR(RecetteTransport2[[#This Row],[Date Achevement  Mécanique]])</f>
        <v>#REF!</v>
      </c>
      <c r="V327" s="47"/>
      <c r="W327" s="50">
        <f>_xlfn.ISOWEEKNUM(RecetteTransport2[[#This Row],[Date de mesure]])</f>
        <v>52</v>
      </c>
      <c r="X327" s="11">
        <f>YEAR(RecetteTransport2[[#This Row],[Date de mesure]])</f>
        <v>1900</v>
      </c>
      <c r="Y327" s="47"/>
      <c r="Z327" s="50">
        <f>_xlfn.ISOWEEKNUM(RecetteTransport2[[#This Row],[Date envoie dossier mesure]])</f>
        <v>52</v>
      </c>
      <c r="AA327" s="50">
        <f>YEAR(RecetteTransport2[[#This Row],[Date envoie dossier mesure]])</f>
        <v>1900</v>
      </c>
      <c r="AB327" s="11"/>
      <c r="AC327" s="11"/>
      <c r="AE327" s="6" t="e">
        <f>RecetteTransport2[[#All],[Nb de reprises Optiques]]/#REF!</f>
        <v>#REF!</v>
      </c>
      <c r="AF327" s="6"/>
    </row>
    <row r="328" spans="1:32" hidden="1" x14ac:dyDescent="0.3">
      <c r="A328" t="s">
        <v>12</v>
      </c>
      <c r="B328" t="s">
        <v>19</v>
      </c>
      <c r="C328" t="s">
        <v>86</v>
      </c>
      <c r="D328" t="s">
        <v>143</v>
      </c>
      <c r="G328" s="11"/>
      <c r="H328" s="11" t="s">
        <v>29</v>
      </c>
      <c r="I328" s="11" t="s">
        <v>29</v>
      </c>
      <c r="J328" s="11">
        <f>RecetteTransport2[[#All],[Fibres TC NOK]]</f>
        <v>5</v>
      </c>
      <c r="K328" s="50">
        <f>RecetteTransport2[[#All],[Valeur Critique]]</f>
        <v>0</v>
      </c>
      <c r="L328" s="50">
        <f>AD:AD</f>
        <v>232</v>
      </c>
      <c r="N328" t="s">
        <v>65</v>
      </c>
      <c r="O328" s="2"/>
      <c r="P328">
        <f xml:space="preserve"> _xlfn.ISOWEEKNUM(RecetteTransport2[[#This Row],[Date validation Optique]])</f>
        <v>52</v>
      </c>
      <c r="Q328">
        <f>YEAR(RecetteTransport2[[#This Row],[Date validation Optique]])</f>
        <v>1900</v>
      </c>
      <c r="T328" s="50">
        <f>_xlfn.ISOWEEKNUM(RecetteTransport2[[#This Row],[Date Achevement  Mécanique]])</f>
        <v>52</v>
      </c>
      <c r="U328" s="50">
        <f>YEAR(RecetteTransport2[[#This Row],[Date Achevement  Mécanique]])</f>
        <v>1900</v>
      </c>
      <c r="V328" s="2"/>
      <c r="W328" s="50">
        <f>_xlfn.ISOWEEKNUM(RecetteTransport2[[#This Row],[Date de mesure]])</f>
        <v>52</v>
      </c>
      <c r="X328" s="11">
        <f>YEAR(RecetteTransport2[[#This Row],[Date de mesure]])</f>
        <v>1900</v>
      </c>
      <c r="Y328" s="2">
        <v>44194</v>
      </c>
      <c r="Z328" s="50">
        <f>_xlfn.ISOWEEKNUM(RecetteTransport2[[#This Row],[Date envoie dossier mesure]])</f>
        <v>53</v>
      </c>
      <c r="AA328" s="50">
        <f>YEAR(RecetteTransport2[[#This Row],[Date envoie dossier mesure]])</f>
        <v>2020</v>
      </c>
      <c r="AB328" s="11">
        <v>5</v>
      </c>
      <c r="AC328" s="11">
        <v>0</v>
      </c>
      <c r="AD328" s="50">
        <v>232</v>
      </c>
      <c r="AE328" s="6" t="e">
        <f>RecetteTransport2[[#All],[Nb de reprises Optiques]]/#REF!</f>
        <v>#REF!</v>
      </c>
      <c r="AF328" s="2">
        <v>44215</v>
      </c>
    </row>
    <row r="329" spans="1:32" hidden="1" x14ac:dyDescent="0.3">
      <c r="A329" t="s">
        <v>12</v>
      </c>
      <c r="B329" t="s">
        <v>19</v>
      </c>
      <c r="C329" t="s">
        <v>86</v>
      </c>
      <c r="D329" t="s">
        <v>165</v>
      </c>
      <c r="E329" t="s">
        <v>186</v>
      </c>
      <c r="G329" s="11"/>
      <c r="H329" s="11" t="s">
        <v>29</v>
      </c>
      <c r="I329" s="11" t="s">
        <v>29</v>
      </c>
      <c r="J329" s="11">
        <f>RecetteTransport2[[#All],[Fibres TC NOK]]</f>
        <v>0</v>
      </c>
      <c r="K329" s="50">
        <f>RecetteTransport2[[#All],[Valeur Critique]]</f>
        <v>0</v>
      </c>
      <c r="L329" s="50">
        <f>AD:AD</f>
        <v>5</v>
      </c>
      <c r="N329" t="s">
        <v>389</v>
      </c>
      <c r="O329" s="2">
        <v>44237</v>
      </c>
      <c r="P329">
        <f xml:space="preserve"> _xlfn.ISOWEEKNUM(RecetteTransport2[[#This Row],[Date validation Optique]])</f>
        <v>6</v>
      </c>
      <c r="Q329">
        <f>YEAR(RecetteTransport2[[#This Row],[Date validation Optique]])</f>
        <v>2021</v>
      </c>
      <c r="T329" s="50">
        <f>_xlfn.ISOWEEKNUM(RecetteTransport2[[#This Row],[Date Achevement  Mécanique]])</f>
        <v>52</v>
      </c>
      <c r="U329" s="50">
        <f>YEAR(RecetteTransport2[[#This Row],[Date Achevement  Mécanique]])</f>
        <v>1900</v>
      </c>
      <c r="V329" s="2"/>
      <c r="W329" s="50">
        <f>_xlfn.ISOWEEKNUM(RecetteTransport2[[#This Row],[Date de mesure]])</f>
        <v>52</v>
      </c>
      <c r="X329" s="11">
        <f>YEAR(RecetteTransport2[[#This Row],[Date de mesure]])</f>
        <v>1900</v>
      </c>
      <c r="Y329" s="2">
        <v>44194</v>
      </c>
      <c r="Z329" s="50">
        <f>_xlfn.ISOWEEKNUM(RecetteTransport2[[#This Row],[Date envoie dossier mesure]])</f>
        <v>53</v>
      </c>
      <c r="AA329" s="50">
        <f>YEAR(RecetteTransport2[[#This Row],[Date envoie dossier mesure]])</f>
        <v>2020</v>
      </c>
      <c r="AB329" s="11">
        <v>0</v>
      </c>
      <c r="AC329" s="11">
        <v>0</v>
      </c>
      <c r="AD329" s="50">
        <v>5</v>
      </c>
      <c r="AE329" s="6" t="e">
        <f>RecetteTransport2[[#All],[Nb de reprises Optiques]]/#REF!</f>
        <v>#REF!</v>
      </c>
      <c r="AF329" s="2">
        <v>44215</v>
      </c>
    </row>
    <row r="330" spans="1:32" x14ac:dyDescent="0.3">
      <c r="A330" t="s">
        <v>12</v>
      </c>
      <c r="B330" t="s">
        <v>19</v>
      </c>
      <c r="C330" t="s">
        <v>86</v>
      </c>
      <c r="D330" t="s">
        <v>581</v>
      </c>
      <c r="G330" s="11"/>
      <c r="H330" s="11"/>
      <c r="I330" s="11"/>
      <c r="J330" s="11">
        <f>RecetteTransport2[[#All],[Fibres TC NOK]]</f>
        <v>0</v>
      </c>
      <c r="K330" s="50">
        <f>RecetteTransport2[[#All],[Valeur Critique]]</f>
        <v>0</v>
      </c>
      <c r="L330" s="50">
        <f t="shared" ref="L330:L332" si="23">AD:AD</f>
        <v>0</v>
      </c>
      <c r="O330" s="2"/>
      <c r="P330" s="11">
        <f xml:space="preserve"> _xlfn.ISOWEEKNUM(RecetteTransport2[[#This Row],[Date validation Optique]])</f>
        <v>52</v>
      </c>
      <c r="Q330" s="11">
        <f>YEAR(RecetteTransport2[[#This Row],[Date validation Optique]])</f>
        <v>1900</v>
      </c>
      <c r="S330" s="47" t="e">
        <f>#REF!+10</f>
        <v>#REF!</v>
      </c>
      <c r="T330" s="50" t="e">
        <f>_xlfn.ISOWEEKNUM(RecetteTransport2[[#This Row],[Date Achevement  Mécanique]])</f>
        <v>#REF!</v>
      </c>
      <c r="U330" s="50" t="e">
        <f>YEAR(RecetteTransport2[[#This Row],[Date Achevement  Mécanique]])</f>
        <v>#REF!</v>
      </c>
      <c r="V330" s="47"/>
      <c r="W330" s="50">
        <f>_xlfn.ISOWEEKNUM(RecetteTransport2[[#This Row],[Date de mesure]])</f>
        <v>52</v>
      </c>
      <c r="X330" s="11">
        <f>YEAR(RecetteTransport2[[#This Row],[Date de mesure]])</f>
        <v>1900</v>
      </c>
      <c r="Y330" s="47"/>
      <c r="Z330" s="50">
        <f>_xlfn.ISOWEEKNUM(RecetteTransport2[[#This Row],[Date envoie dossier mesure]])</f>
        <v>52</v>
      </c>
      <c r="AA330" s="50">
        <f>YEAR(RecetteTransport2[[#This Row],[Date envoie dossier mesure]])</f>
        <v>1900</v>
      </c>
      <c r="AB330" s="11"/>
      <c r="AC330" s="11"/>
      <c r="AE330" s="6" t="e">
        <f>RecetteTransport2[[#All],[Nb de reprises Optiques]]/#REF!</f>
        <v>#REF!</v>
      </c>
      <c r="AF330" s="6"/>
    </row>
    <row r="331" spans="1:32" x14ac:dyDescent="0.3">
      <c r="A331" t="s">
        <v>12</v>
      </c>
      <c r="B331" t="s">
        <v>19</v>
      </c>
      <c r="C331" t="s">
        <v>86</v>
      </c>
      <c r="D331" t="s">
        <v>582</v>
      </c>
      <c r="G331" s="11"/>
      <c r="H331" s="11"/>
      <c r="I331" s="11"/>
      <c r="J331" s="11">
        <f>RecetteTransport2[[#All],[Fibres TC NOK]]</f>
        <v>0</v>
      </c>
      <c r="K331" s="50">
        <f>RecetteTransport2[[#All],[Valeur Critique]]</f>
        <v>0</v>
      </c>
      <c r="L331" s="50">
        <f t="shared" si="23"/>
        <v>0</v>
      </c>
      <c r="O331" s="2"/>
      <c r="P331" s="11">
        <f xml:space="preserve"> _xlfn.ISOWEEKNUM(RecetteTransport2[[#This Row],[Date validation Optique]])</f>
        <v>52</v>
      </c>
      <c r="Q331" s="11">
        <f>YEAR(RecetteTransport2[[#This Row],[Date validation Optique]])</f>
        <v>1900</v>
      </c>
      <c r="S331" s="47" t="e">
        <f>#REF!+10</f>
        <v>#REF!</v>
      </c>
      <c r="T331" s="50" t="e">
        <f>_xlfn.ISOWEEKNUM(RecetteTransport2[[#This Row],[Date Achevement  Mécanique]])</f>
        <v>#REF!</v>
      </c>
      <c r="U331" s="50" t="e">
        <f>YEAR(RecetteTransport2[[#This Row],[Date Achevement  Mécanique]])</f>
        <v>#REF!</v>
      </c>
      <c r="V331" s="47"/>
      <c r="W331" s="50">
        <f>_xlfn.ISOWEEKNUM(RecetteTransport2[[#This Row],[Date de mesure]])</f>
        <v>52</v>
      </c>
      <c r="X331" s="11">
        <f>YEAR(RecetteTransport2[[#This Row],[Date de mesure]])</f>
        <v>1900</v>
      </c>
      <c r="Y331" s="47"/>
      <c r="Z331" s="50">
        <f>_xlfn.ISOWEEKNUM(RecetteTransport2[[#This Row],[Date envoie dossier mesure]])</f>
        <v>52</v>
      </c>
      <c r="AA331" s="50">
        <f>YEAR(RecetteTransport2[[#This Row],[Date envoie dossier mesure]])</f>
        <v>1900</v>
      </c>
      <c r="AB331" s="11"/>
      <c r="AC331" s="11"/>
      <c r="AE331" s="6" t="e">
        <f>RecetteTransport2[[#All],[Nb de reprises Optiques]]/#REF!</f>
        <v>#REF!</v>
      </c>
      <c r="AF331" s="6"/>
    </row>
    <row r="332" spans="1:32" x14ac:dyDescent="0.3">
      <c r="A332" t="s">
        <v>12</v>
      </c>
      <c r="B332" t="s">
        <v>19</v>
      </c>
      <c r="C332" t="s">
        <v>86</v>
      </c>
      <c r="D332" t="s">
        <v>583</v>
      </c>
      <c r="G332" s="11"/>
      <c r="H332" s="11"/>
      <c r="I332" s="11"/>
      <c r="J332" s="11">
        <f>RecetteTransport2[[#All],[Fibres TC NOK]]</f>
        <v>0</v>
      </c>
      <c r="K332" s="50">
        <f>RecetteTransport2[[#All],[Valeur Critique]]</f>
        <v>0</v>
      </c>
      <c r="L332" s="50">
        <f t="shared" si="23"/>
        <v>0</v>
      </c>
      <c r="O332" s="2"/>
      <c r="P332" s="11">
        <f xml:space="preserve"> _xlfn.ISOWEEKNUM(RecetteTransport2[[#This Row],[Date validation Optique]])</f>
        <v>52</v>
      </c>
      <c r="Q332" s="11">
        <f>YEAR(RecetteTransport2[[#This Row],[Date validation Optique]])</f>
        <v>1900</v>
      </c>
      <c r="S332" s="47" t="e">
        <f>#REF!+10</f>
        <v>#REF!</v>
      </c>
      <c r="T332" s="50" t="e">
        <f>_xlfn.ISOWEEKNUM(RecetteTransport2[[#This Row],[Date Achevement  Mécanique]])</f>
        <v>#REF!</v>
      </c>
      <c r="U332" s="50" t="e">
        <f>YEAR(RecetteTransport2[[#This Row],[Date Achevement  Mécanique]])</f>
        <v>#REF!</v>
      </c>
      <c r="V332" s="47"/>
      <c r="W332" s="50">
        <f>_xlfn.ISOWEEKNUM(RecetteTransport2[[#This Row],[Date de mesure]])</f>
        <v>52</v>
      </c>
      <c r="X332" s="11">
        <f>YEAR(RecetteTransport2[[#This Row],[Date de mesure]])</f>
        <v>1900</v>
      </c>
      <c r="Y332" s="47"/>
      <c r="Z332" s="50">
        <f>_xlfn.ISOWEEKNUM(RecetteTransport2[[#This Row],[Date envoie dossier mesure]])</f>
        <v>52</v>
      </c>
      <c r="AA332" s="50">
        <f>YEAR(RecetteTransport2[[#This Row],[Date envoie dossier mesure]])</f>
        <v>1900</v>
      </c>
      <c r="AB332" s="11"/>
      <c r="AC332" s="11"/>
      <c r="AE332" s="6" t="e">
        <f>RecetteTransport2[[#All],[Nb de reprises Optiques]]/#REF!</f>
        <v>#REF!</v>
      </c>
      <c r="AF332" s="6"/>
    </row>
    <row r="333" spans="1:32" hidden="1" x14ac:dyDescent="0.3">
      <c r="A333" t="s">
        <v>12</v>
      </c>
      <c r="B333" t="s">
        <v>19</v>
      </c>
      <c r="C333" t="s">
        <v>86</v>
      </c>
      <c r="D333" t="s">
        <v>210</v>
      </c>
      <c r="G333" s="11"/>
      <c r="H333" s="11" t="s">
        <v>29</v>
      </c>
      <c r="I333" s="11" t="s">
        <v>29</v>
      </c>
      <c r="J333" s="11">
        <f>RecetteTransport2[[#All],[Fibres TC NOK]]</f>
        <v>0</v>
      </c>
      <c r="K333" s="50">
        <f>RecetteTransport2[[#All],[Valeur Critique]]</f>
        <v>0</v>
      </c>
      <c r="L333" s="50">
        <f>AD:AD</f>
        <v>6</v>
      </c>
      <c r="N333" t="s">
        <v>65</v>
      </c>
      <c r="P333">
        <f xml:space="preserve"> _xlfn.ISOWEEKNUM(RecetteTransport2[[#This Row],[Date validation Optique]])</f>
        <v>52</v>
      </c>
      <c r="Q333">
        <f>YEAR(RecetteTransport2[[#This Row],[Date validation Optique]])</f>
        <v>1900</v>
      </c>
      <c r="T333" s="50">
        <f>_xlfn.ISOWEEKNUM(RecetteTransport2[[#This Row],[Date Achevement  Mécanique]])</f>
        <v>52</v>
      </c>
      <c r="U333" s="50">
        <f>YEAR(RecetteTransport2[[#This Row],[Date Achevement  Mécanique]])</f>
        <v>1900</v>
      </c>
      <c r="V333" s="2"/>
      <c r="W333" s="50">
        <f>_xlfn.ISOWEEKNUM(RecetteTransport2[[#This Row],[Date de mesure]])</f>
        <v>52</v>
      </c>
      <c r="X333" s="11">
        <f>YEAR(RecetteTransport2[[#This Row],[Date de mesure]])</f>
        <v>1900</v>
      </c>
      <c r="Y333" s="2">
        <v>44204</v>
      </c>
      <c r="Z333" s="50">
        <f>_xlfn.ISOWEEKNUM(RecetteTransport2[[#This Row],[Date envoie dossier mesure]])</f>
        <v>1</v>
      </c>
      <c r="AA333" s="50">
        <f>YEAR(RecetteTransport2[[#This Row],[Date envoie dossier mesure]])</f>
        <v>2021</v>
      </c>
      <c r="AB333" s="11">
        <v>0</v>
      </c>
      <c r="AC333" s="11">
        <v>0</v>
      </c>
      <c r="AD333" s="50">
        <v>6</v>
      </c>
      <c r="AE333" s="6" t="e">
        <f>RecetteTransport2[[#All],[Nb de reprises Optiques]]/#REF!</f>
        <v>#REF!</v>
      </c>
      <c r="AF333" s="2">
        <v>44215</v>
      </c>
    </row>
    <row r="334" spans="1:32" hidden="1" x14ac:dyDescent="0.3">
      <c r="A334" t="s">
        <v>12</v>
      </c>
      <c r="B334" t="s">
        <v>19</v>
      </c>
      <c r="C334" t="s">
        <v>86</v>
      </c>
      <c r="D334" t="s">
        <v>212</v>
      </c>
      <c r="G334" s="11"/>
      <c r="H334" s="11" t="s">
        <v>29</v>
      </c>
      <c r="I334" s="11" t="s">
        <v>29</v>
      </c>
      <c r="J334" s="11">
        <f>RecetteTransport2[[#All],[Fibres TC NOK]]</f>
        <v>0</v>
      </c>
      <c r="K334" s="50">
        <f>RecetteTransport2[[#All],[Valeur Critique]]</f>
        <v>0</v>
      </c>
      <c r="L334" s="50">
        <f>AD:AD</f>
        <v>35</v>
      </c>
      <c r="N334" t="s">
        <v>389</v>
      </c>
      <c r="O334" s="2">
        <v>44237</v>
      </c>
      <c r="P334">
        <f xml:space="preserve"> _xlfn.ISOWEEKNUM(RecetteTransport2[[#This Row],[Date validation Optique]])</f>
        <v>6</v>
      </c>
      <c r="Q334">
        <f>YEAR(RecetteTransport2[[#This Row],[Date validation Optique]])</f>
        <v>2021</v>
      </c>
      <c r="T334" s="50">
        <f>_xlfn.ISOWEEKNUM(RecetteTransport2[[#This Row],[Date Achevement  Mécanique]])</f>
        <v>52</v>
      </c>
      <c r="U334" s="50">
        <f>YEAR(RecetteTransport2[[#This Row],[Date Achevement  Mécanique]])</f>
        <v>1900</v>
      </c>
      <c r="V334" s="2"/>
      <c r="W334" s="50">
        <f>_xlfn.ISOWEEKNUM(RecetteTransport2[[#This Row],[Date de mesure]])</f>
        <v>52</v>
      </c>
      <c r="X334" s="11">
        <f>YEAR(RecetteTransport2[[#This Row],[Date de mesure]])</f>
        <v>1900</v>
      </c>
      <c r="Y334" s="2">
        <v>44194</v>
      </c>
      <c r="Z334" s="50">
        <f>_xlfn.ISOWEEKNUM(RecetteTransport2[[#This Row],[Date envoie dossier mesure]])</f>
        <v>53</v>
      </c>
      <c r="AA334" s="50">
        <f>YEAR(RecetteTransport2[[#This Row],[Date envoie dossier mesure]])</f>
        <v>2020</v>
      </c>
      <c r="AB334" s="11">
        <v>0</v>
      </c>
      <c r="AC334" s="11">
        <v>0</v>
      </c>
      <c r="AD334" s="50">
        <v>35</v>
      </c>
      <c r="AE334" s="6" t="e">
        <f>RecetteTransport2[[#All],[Nb de reprises Optiques]]/#REF!</f>
        <v>#REF!</v>
      </c>
      <c r="AF334" s="2">
        <v>44215</v>
      </c>
    </row>
    <row r="335" spans="1:32" hidden="1" x14ac:dyDescent="0.3">
      <c r="A335" t="s">
        <v>12</v>
      </c>
      <c r="B335" t="s">
        <v>19</v>
      </c>
      <c r="C335" t="s">
        <v>86</v>
      </c>
      <c r="D335" t="s">
        <v>169</v>
      </c>
      <c r="E335" t="s">
        <v>187</v>
      </c>
      <c r="G335" s="11"/>
      <c r="H335" s="11" t="s">
        <v>29</v>
      </c>
      <c r="I335" s="11" t="s">
        <v>29</v>
      </c>
      <c r="J335" s="11">
        <f>RecetteTransport2[[#All],[Fibres TC NOK]]</f>
        <v>0</v>
      </c>
      <c r="K335" s="50">
        <f>RecetteTransport2[[#All],[Valeur Critique]]</f>
        <v>0</v>
      </c>
      <c r="L335" s="50">
        <f>AD:AD</f>
        <v>10</v>
      </c>
      <c r="N335" t="s">
        <v>65</v>
      </c>
      <c r="O335" s="2"/>
      <c r="P335">
        <f xml:space="preserve"> _xlfn.ISOWEEKNUM(RecetteTransport2[[#This Row],[Date validation Optique]])</f>
        <v>52</v>
      </c>
      <c r="Q335">
        <f>YEAR(RecetteTransport2[[#This Row],[Date validation Optique]])</f>
        <v>1900</v>
      </c>
      <c r="T335" s="50">
        <f>_xlfn.ISOWEEKNUM(RecetteTransport2[[#This Row],[Date Achevement  Mécanique]])</f>
        <v>52</v>
      </c>
      <c r="U335" s="50">
        <f>YEAR(RecetteTransport2[[#This Row],[Date Achevement  Mécanique]])</f>
        <v>1900</v>
      </c>
      <c r="V335" s="2"/>
      <c r="W335" s="50">
        <f>_xlfn.ISOWEEKNUM(RecetteTransport2[[#This Row],[Date de mesure]])</f>
        <v>52</v>
      </c>
      <c r="X335" s="11">
        <f>YEAR(RecetteTransport2[[#This Row],[Date de mesure]])</f>
        <v>1900</v>
      </c>
      <c r="Y335" s="2">
        <v>44194</v>
      </c>
      <c r="Z335" s="50">
        <f>_xlfn.ISOWEEKNUM(RecetteTransport2[[#This Row],[Date envoie dossier mesure]])</f>
        <v>53</v>
      </c>
      <c r="AA335" s="50">
        <f>YEAR(RecetteTransport2[[#This Row],[Date envoie dossier mesure]])</f>
        <v>2020</v>
      </c>
      <c r="AB335" s="11">
        <v>0</v>
      </c>
      <c r="AC335" s="11">
        <v>0</v>
      </c>
      <c r="AD335" s="50">
        <v>10</v>
      </c>
      <c r="AE335" s="6" t="e">
        <f>RecetteTransport2[[#All],[Nb de reprises Optiques]]/#REF!</f>
        <v>#REF!</v>
      </c>
      <c r="AF335" s="2">
        <v>44215</v>
      </c>
    </row>
    <row r="336" spans="1:32" hidden="1" x14ac:dyDescent="0.3">
      <c r="A336" t="s">
        <v>12</v>
      </c>
      <c r="B336" t="s">
        <v>19</v>
      </c>
      <c r="C336" t="s">
        <v>86</v>
      </c>
      <c r="D336" t="s">
        <v>211</v>
      </c>
      <c r="G336" s="11"/>
      <c r="H336" s="11" t="s">
        <v>29</v>
      </c>
      <c r="I336" s="11" t="s">
        <v>29</v>
      </c>
      <c r="J336" s="11">
        <f>RecetteTransport2[[#All],[Fibres TC NOK]]</f>
        <v>1</v>
      </c>
      <c r="K336" s="50">
        <f>RecetteTransport2[[#All],[Valeur Critique]]</f>
        <v>0</v>
      </c>
      <c r="L336" s="50">
        <f>AD:AD</f>
        <v>31</v>
      </c>
      <c r="N336" t="s">
        <v>389</v>
      </c>
      <c r="O336" s="2">
        <v>44237</v>
      </c>
      <c r="P336">
        <f xml:space="preserve"> _xlfn.ISOWEEKNUM(RecetteTransport2[[#This Row],[Date validation Optique]])</f>
        <v>6</v>
      </c>
      <c r="Q336">
        <f>YEAR(RecetteTransport2[[#This Row],[Date validation Optique]])</f>
        <v>2021</v>
      </c>
      <c r="T336" s="50">
        <f>_xlfn.ISOWEEKNUM(RecetteTransport2[[#This Row],[Date Achevement  Mécanique]])</f>
        <v>52</v>
      </c>
      <c r="U336" s="50">
        <f>YEAR(RecetteTransport2[[#This Row],[Date Achevement  Mécanique]])</f>
        <v>1900</v>
      </c>
      <c r="V336" s="2"/>
      <c r="W336" s="50">
        <f>_xlfn.ISOWEEKNUM(RecetteTransport2[[#This Row],[Date de mesure]])</f>
        <v>52</v>
      </c>
      <c r="X336" s="11">
        <f>YEAR(RecetteTransport2[[#This Row],[Date de mesure]])</f>
        <v>1900</v>
      </c>
      <c r="Y336" s="2">
        <v>44194</v>
      </c>
      <c r="Z336" s="50">
        <f>_xlfn.ISOWEEKNUM(RecetteTransport2[[#This Row],[Date envoie dossier mesure]])</f>
        <v>53</v>
      </c>
      <c r="AA336" s="50">
        <f>YEAR(RecetteTransport2[[#This Row],[Date envoie dossier mesure]])</f>
        <v>2020</v>
      </c>
      <c r="AB336" s="11">
        <v>1</v>
      </c>
      <c r="AC336" s="11">
        <v>0</v>
      </c>
      <c r="AD336" s="50">
        <v>31</v>
      </c>
      <c r="AE336" s="6" t="e">
        <f>RecetteTransport2[[#All],[Nb de reprises Optiques]]/#REF!</f>
        <v>#REF!</v>
      </c>
      <c r="AF336" s="2">
        <v>44215</v>
      </c>
    </row>
    <row r="337" spans="1:32" x14ac:dyDescent="0.3">
      <c r="A337" t="s">
        <v>12</v>
      </c>
      <c r="B337" t="s">
        <v>19</v>
      </c>
      <c r="C337" t="s">
        <v>86</v>
      </c>
      <c r="D337" t="s">
        <v>584</v>
      </c>
      <c r="G337" s="11"/>
      <c r="H337" s="11"/>
      <c r="I337" s="11"/>
      <c r="J337" s="11">
        <f>RecetteTransport2[[#All],[Fibres TC NOK]]</f>
        <v>0</v>
      </c>
      <c r="K337" s="50">
        <f>RecetteTransport2[[#All],[Valeur Critique]]</f>
        <v>0</v>
      </c>
      <c r="L337" s="50">
        <f>AD:AD</f>
        <v>0</v>
      </c>
      <c r="O337" s="2"/>
      <c r="P337" s="11">
        <f xml:space="preserve"> _xlfn.ISOWEEKNUM(RecetteTransport2[[#This Row],[Date validation Optique]])</f>
        <v>52</v>
      </c>
      <c r="Q337" s="11">
        <f>YEAR(RecetteTransport2[[#This Row],[Date validation Optique]])</f>
        <v>1900</v>
      </c>
      <c r="S337" s="47" t="e">
        <f>#REF!+10</f>
        <v>#REF!</v>
      </c>
      <c r="T337" s="50" t="e">
        <f>_xlfn.ISOWEEKNUM(RecetteTransport2[[#This Row],[Date Achevement  Mécanique]])</f>
        <v>#REF!</v>
      </c>
      <c r="U337" s="50" t="e">
        <f>YEAR(RecetteTransport2[[#This Row],[Date Achevement  Mécanique]])</f>
        <v>#REF!</v>
      </c>
      <c r="V337" s="47"/>
      <c r="W337" s="50">
        <f>_xlfn.ISOWEEKNUM(RecetteTransport2[[#This Row],[Date de mesure]])</f>
        <v>52</v>
      </c>
      <c r="X337" s="11">
        <f>YEAR(RecetteTransport2[[#This Row],[Date de mesure]])</f>
        <v>1900</v>
      </c>
      <c r="Y337" s="47"/>
      <c r="Z337" s="50">
        <f>_xlfn.ISOWEEKNUM(RecetteTransport2[[#This Row],[Date envoie dossier mesure]])</f>
        <v>52</v>
      </c>
      <c r="AA337" s="50">
        <f>YEAR(RecetteTransport2[[#This Row],[Date envoie dossier mesure]])</f>
        <v>1900</v>
      </c>
      <c r="AB337" s="11"/>
      <c r="AC337" s="11"/>
      <c r="AE337" s="6" t="e">
        <f>RecetteTransport2[[#All],[Nb de reprises Optiques]]/#REF!</f>
        <v>#REF!</v>
      </c>
      <c r="AF337" s="6"/>
    </row>
    <row r="338" spans="1:32" hidden="1" x14ac:dyDescent="0.3">
      <c r="A338" t="s">
        <v>12</v>
      </c>
      <c r="B338" t="s">
        <v>19</v>
      </c>
      <c r="C338" t="s">
        <v>86</v>
      </c>
      <c r="D338" t="s">
        <v>144</v>
      </c>
      <c r="G338" s="11"/>
      <c r="H338" s="11" t="s">
        <v>29</v>
      </c>
      <c r="I338" s="11" t="s">
        <v>29</v>
      </c>
      <c r="J338" s="11">
        <f>RecetteTransport2[[#All],[Fibres TC NOK]]</f>
        <v>4</v>
      </c>
      <c r="K338" s="50">
        <f>RecetteTransport2[[#All],[Valeur Critique]]</f>
        <v>0</v>
      </c>
      <c r="L338" s="50">
        <f>AD:AD</f>
        <v>24</v>
      </c>
      <c r="N338" t="s">
        <v>65</v>
      </c>
      <c r="P338">
        <f xml:space="preserve"> _xlfn.ISOWEEKNUM(RecetteTransport2[[#This Row],[Date validation Optique]])</f>
        <v>52</v>
      </c>
      <c r="Q338">
        <f>YEAR(RecetteTransport2[[#This Row],[Date validation Optique]])</f>
        <v>1900</v>
      </c>
      <c r="T338" s="50">
        <f>_xlfn.ISOWEEKNUM(RecetteTransport2[[#This Row],[Date Achevement  Mécanique]])</f>
        <v>52</v>
      </c>
      <c r="U338" s="50">
        <f>YEAR(RecetteTransport2[[#This Row],[Date Achevement  Mécanique]])</f>
        <v>1900</v>
      </c>
      <c r="V338" s="2">
        <v>44265</v>
      </c>
      <c r="W338" s="50">
        <f>_xlfn.ISOWEEKNUM(RecetteTransport2[[#This Row],[Date de mesure]])</f>
        <v>10</v>
      </c>
      <c r="X338" s="11">
        <f>YEAR(RecetteTransport2[[#This Row],[Date de mesure]])</f>
        <v>2021</v>
      </c>
      <c r="Y338" s="2">
        <v>44270</v>
      </c>
      <c r="Z338" s="50">
        <f>_xlfn.ISOWEEKNUM(RecetteTransport2[[#This Row],[Date envoie dossier mesure]])</f>
        <v>11</v>
      </c>
      <c r="AA338" s="50">
        <f>YEAR(RecetteTransport2[[#This Row],[Date envoie dossier mesure]])</f>
        <v>2021</v>
      </c>
      <c r="AB338" s="11">
        <v>4</v>
      </c>
      <c r="AC338" s="11">
        <v>0</v>
      </c>
      <c r="AD338" s="50">
        <v>24</v>
      </c>
      <c r="AE338" s="6" t="e">
        <f>RecetteTransport2[[#All],[Nb de reprises Optiques]]/#REF!</f>
        <v>#REF!</v>
      </c>
      <c r="AF338" s="6"/>
    </row>
    <row r="339" spans="1:32" x14ac:dyDescent="0.3">
      <c r="A339" t="s">
        <v>12</v>
      </c>
      <c r="B339" t="s">
        <v>19</v>
      </c>
      <c r="C339" t="s">
        <v>86</v>
      </c>
      <c r="D339" t="s">
        <v>585</v>
      </c>
      <c r="G339" s="11"/>
      <c r="H339" s="11"/>
      <c r="I339" s="11"/>
      <c r="J339" s="11">
        <f>RecetteTransport2[[#All],[Fibres TC NOK]]</f>
        <v>0</v>
      </c>
      <c r="K339" s="50">
        <f>RecetteTransport2[[#All],[Valeur Critique]]</f>
        <v>0</v>
      </c>
      <c r="L339" s="50">
        <f t="shared" ref="L339:L341" si="24">AD:AD</f>
        <v>0</v>
      </c>
      <c r="P339" s="11">
        <f xml:space="preserve"> _xlfn.ISOWEEKNUM(RecetteTransport2[[#This Row],[Date validation Optique]])</f>
        <v>52</v>
      </c>
      <c r="Q339" s="11">
        <f>YEAR(RecetteTransport2[[#This Row],[Date validation Optique]])</f>
        <v>1900</v>
      </c>
      <c r="S339" s="47" t="e">
        <f>#REF!+10</f>
        <v>#REF!</v>
      </c>
      <c r="T339" s="50" t="e">
        <f>_xlfn.ISOWEEKNUM(RecetteTransport2[[#This Row],[Date Achevement  Mécanique]])</f>
        <v>#REF!</v>
      </c>
      <c r="U339" s="50" t="e">
        <f>YEAR(RecetteTransport2[[#This Row],[Date Achevement  Mécanique]])</f>
        <v>#REF!</v>
      </c>
      <c r="V339" s="47"/>
      <c r="W339" s="50">
        <f>_xlfn.ISOWEEKNUM(RecetteTransport2[[#This Row],[Date de mesure]])</f>
        <v>52</v>
      </c>
      <c r="X339" s="11">
        <f>YEAR(RecetteTransport2[[#This Row],[Date de mesure]])</f>
        <v>1900</v>
      </c>
      <c r="Y339" s="47"/>
      <c r="Z339" s="50">
        <f>_xlfn.ISOWEEKNUM(RecetteTransport2[[#This Row],[Date envoie dossier mesure]])</f>
        <v>52</v>
      </c>
      <c r="AA339" s="50">
        <f>YEAR(RecetteTransport2[[#This Row],[Date envoie dossier mesure]])</f>
        <v>1900</v>
      </c>
      <c r="AB339" s="11"/>
      <c r="AC339" s="11"/>
      <c r="AE339" s="6" t="e">
        <f>RecetteTransport2[[#All],[Nb de reprises Optiques]]/#REF!</f>
        <v>#REF!</v>
      </c>
      <c r="AF339" s="6"/>
    </row>
    <row r="340" spans="1:32" x14ac:dyDescent="0.3">
      <c r="A340" t="s">
        <v>12</v>
      </c>
      <c r="D340" t="s">
        <v>586</v>
      </c>
      <c r="G340" s="11"/>
      <c r="H340" s="11"/>
      <c r="I340" s="11"/>
      <c r="J340" s="11">
        <f>RecetteTransport2[[#All],[Fibres TC NOK]]</f>
        <v>0</v>
      </c>
      <c r="K340" s="50">
        <f>RecetteTransport2[[#All],[Valeur Critique]]</f>
        <v>0</v>
      </c>
      <c r="L340" s="50">
        <f t="shared" si="24"/>
        <v>0</v>
      </c>
      <c r="P340" s="11">
        <f xml:space="preserve"> _xlfn.ISOWEEKNUM(RecetteTransport2[[#This Row],[Date validation Optique]])</f>
        <v>52</v>
      </c>
      <c r="Q340" s="11">
        <f>YEAR(RecetteTransport2[[#This Row],[Date validation Optique]])</f>
        <v>1900</v>
      </c>
      <c r="S340" s="47" t="e">
        <f>#REF!+10</f>
        <v>#REF!</v>
      </c>
      <c r="T340" s="50" t="e">
        <f>_xlfn.ISOWEEKNUM(RecetteTransport2[[#This Row],[Date Achevement  Mécanique]])</f>
        <v>#REF!</v>
      </c>
      <c r="U340" s="50" t="e">
        <f>YEAR(RecetteTransport2[[#This Row],[Date Achevement  Mécanique]])</f>
        <v>#REF!</v>
      </c>
      <c r="V340" s="47"/>
      <c r="W340" s="50">
        <f>_xlfn.ISOWEEKNUM(RecetteTransport2[[#This Row],[Date de mesure]])</f>
        <v>52</v>
      </c>
      <c r="X340" s="11">
        <f>YEAR(RecetteTransport2[[#This Row],[Date de mesure]])</f>
        <v>1900</v>
      </c>
      <c r="Y340" s="47"/>
      <c r="Z340" s="50">
        <f>_xlfn.ISOWEEKNUM(RecetteTransport2[[#This Row],[Date envoie dossier mesure]])</f>
        <v>52</v>
      </c>
      <c r="AA340" s="50">
        <f>YEAR(RecetteTransport2[[#This Row],[Date envoie dossier mesure]])</f>
        <v>1900</v>
      </c>
      <c r="AB340" s="11"/>
      <c r="AC340" s="11"/>
      <c r="AE340" s="6" t="e">
        <f>RecetteTransport2[[#All],[Nb de reprises Optiques]]/#REF!</f>
        <v>#REF!</v>
      </c>
      <c r="AF340" s="6"/>
    </row>
    <row r="341" spans="1:32" x14ac:dyDescent="0.3">
      <c r="A341" t="s">
        <v>12</v>
      </c>
      <c r="D341" t="s">
        <v>587</v>
      </c>
      <c r="G341" s="11"/>
      <c r="H341" s="11"/>
      <c r="I341" s="11"/>
      <c r="J341" s="11">
        <f>RecetteTransport2[[#All],[Fibres TC NOK]]</f>
        <v>0</v>
      </c>
      <c r="K341" s="50">
        <f>RecetteTransport2[[#All],[Valeur Critique]]</f>
        <v>0</v>
      </c>
      <c r="L341" s="50">
        <f t="shared" si="24"/>
        <v>0</v>
      </c>
      <c r="P341" s="11">
        <f xml:space="preserve"> _xlfn.ISOWEEKNUM(RecetteTransport2[[#This Row],[Date validation Optique]])</f>
        <v>52</v>
      </c>
      <c r="Q341" s="11">
        <f>YEAR(RecetteTransport2[[#This Row],[Date validation Optique]])</f>
        <v>1900</v>
      </c>
      <c r="S341" s="47" t="e">
        <f>#REF!+10</f>
        <v>#REF!</v>
      </c>
      <c r="T341" s="50" t="e">
        <f>_xlfn.ISOWEEKNUM(RecetteTransport2[[#This Row],[Date Achevement  Mécanique]])</f>
        <v>#REF!</v>
      </c>
      <c r="U341" s="50" t="e">
        <f>YEAR(RecetteTransport2[[#This Row],[Date Achevement  Mécanique]])</f>
        <v>#REF!</v>
      </c>
      <c r="V341" s="47"/>
      <c r="W341" s="50">
        <f>_xlfn.ISOWEEKNUM(RecetteTransport2[[#This Row],[Date de mesure]])</f>
        <v>52</v>
      </c>
      <c r="X341" s="11">
        <f>YEAR(RecetteTransport2[[#This Row],[Date de mesure]])</f>
        <v>1900</v>
      </c>
      <c r="Y341" s="47"/>
      <c r="Z341" s="50">
        <f>_xlfn.ISOWEEKNUM(RecetteTransport2[[#This Row],[Date envoie dossier mesure]])</f>
        <v>52</v>
      </c>
      <c r="AA341" s="50">
        <f>YEAR(RecetteTransport2[[#This Row],[Date envoie dossier mesure]])</f>
        <v>1900</v>
      </c>
      <c r="AB341" s="11"/>
      <c r="AC341" s="11"/>
      <c r="AE341" s="6" t="e">
        <f>RecetteTransport2[[#All],[Nb de reprises Optiques]]/#REF!</f>
        <v>#REF!</v>
      </c>
      <c r="AF341" s="6"/>
    </row>
    <row r="342" spans="1:32" hidden="1" x14ac:dyDescent="0.3">
      <c r="A342" t="s">
        <v>12</v>
      </c>
      <c r="B342" t="s">
        <v>21</v>
      </c>
      <c r="C342" t="s">
        <v>56</v>
      </c>
      <c r="D342" t="s">
        <v>61</v>
      </c>
      <c r="F342" t="s">
        <v>49</v>
      </c>
      <c r="G342" s="11" t="s">
        <v>29</v>
      </c>
      <c r="H342" s="11" t="s">
        <v>29</v>
      </c>
      <c r="I342" s="11" t="s">
        <v>29</v>
      </c>
      <c r="J342" s="11">
        <f>RecetteTransport2[[#All],[Fibres TC NOK]]</f>
        <v>1</v>
      </c>
      <c r="K342" s="50">
        <f>RecetteTransport2[[#All],[Valeur Critique]]</f>
        <v>1</v>
      </c>
      <c r="L342" s="50">
        <f>AD:AD</f>
        <v>194</v>
      </c>
      <c r="N342" t="s">
        <v>389</v>
      </c>
      <c r="O342" s="2">
        <v>44264</v>
      </c>
      <c r="P342">
        <f xml:space="preserve"> _xlfn.ISOWEEKNUM(RecetteTransport2[[#This Row],[Date validation Optique]])</f>
        <v>10</v>
      </c>
      <c r="Q342">
        <f>YEAR(RecetteTransport2[[#This Row],[Date validation Optique]])</f>
        <v>2021</v>
      </c>
      <c r="R342" t="s">
        <v>193</v>
      </c>
      <c r="S342" s="2">
        <v>44257</v>
      </c>
      <c r="T342" s="50">
        <f>_xlfn.ISOWEEKNUM(RecetteTransport2[[#This Row],[Date Achevement  Mécanique]])</f>
        <v>9</v>
      </c>
      <c r="U342" s="50">
        <f>YEAR(RecetteTransport2[[#This Row],[Date Achevement  Mécanique]])</f>
        <v>2021</v>
      </c>
      <c r="V342" s="2"/>
      <c r="W342" s="50">
        <f>_xlfn.ISOWEEKNUM(RecetteTransport2[[#This Row],[Date de mesure]])</f>
        <v>52</v>
      </c>
      <c r="X342" s="11">
        <f>YEAR(RecetteTransport2[[#This Row],[Date de mesure]])</f>
        <v>1900</v>
      </c>
      <c r="Y342" s="2">
        <v>44036</v>
      </c>
      <c r="Z342" s="50">
        <f>_xlfn.ISOWEEKNUM(RecetteTransport2[[#This Row],[Date envoie dossier mesure]])</f>
        <v>30</v>
      </c>
      <c r="AA342" s="50">
        <f>YEAR(RecetteTransport2[[#This Row],[Date envoie dossier mesure]])</f>
        <v>2020</v>
      </c>
      <c r="AB342" s="11">
        <v>1</v>
      </c>
      <c r="AC342" s="11">
        <v>1</v>
      </c>
      <c r="AD342" s="50">
        <v>194</v>
      </c>
      <c r="AE342" s="6" t="e">
        <f>RecetteTransport2[[#All],[Nb de reprises Optiques]]/#REF!</f>
        <v>#REF!</v>
      </c>
      <c r="AF342" s="2">
        <v>44215</v>
      </c>
    </row>
    <row r="343" spans="1:32" hidden="1" x14ac:dyDescent="0.3">
      <c r="A343" t="s">
        <v>12</v>
      </c>
      <c r="B343" t="s">
        <v>21</v>
      </c>
      <c r="C343" t="s">
        <v>56</v>
      </c>
      <c r="D343" t="s">
        <v>122</v>
      </c>
      <c r="F343" t="s">
        <v>49</v>
      </c>
      <c r="G343" s="11" t="s">
        <v>29</v>
      </c>
      <c r="H343" s="11" t="s">
        <v>29</v>
      </c>
      <c r="I343" s="11" t="s">
        <v>29</v>
      </c>
      <c r="J343" s="11">
        <f>RecetteTransport2[[#All],[Fibres TC NOK]]</f>
        <v>0</v>
      </c>
      <c r="K343" s="50">
        <f>RecetteTransport2[[#All],[Valeur Critique]]</f>
        <v>0</v>
      </c>
      <c r="L343" s="50">
        <f>AD:AD</f>
        <v>8</v>
      </c>
      <c r="N343" t="s">
        <v>389</v>
      </c>
      <c r="O343" s="2">
        <v>44264</v>
      </c>
      <c r="P343">
        <f xml:space="preserve"> _xlfn.ISOWEEKNUM(RecetteTransport2[[#This Row],[Date validation Optique]])</f>
        <v>10</v>
      </c>
      <c r="Q343">
        <f>YEAR(RecetteTransport2[[#This Row],[Date validation Optique]])</f>
        <v>2021</v>
      </c>
      <c r="R343" t="s">
        <v>193</v>
      </c>
      <c r="S343" s="2">
        <v>44257</v>
      </c>
      <c r="T343" s="50">
        <f>_xlfn.ISOWEEKNUM(RecetteTransport2[[#This Row],[Date Achevement  Mécanique]])</f>
        <v>9</v>
      </c>
      <c r="U343" s="50">
        <f>YEAR(RecetteTransport2[[#This Row],[Date Achevement  Mécanique]])</f>
        <v>2021</v>
      </c>
      <c r="V343" s="2"/>
      <c r="W343" s="50">
        <f>_xlfn.ISOWEEKNUM(RecetteTransport2[[#This Row],[Date de mesure]])</f>
        <v>52</v>
      </c>
      <c r="X343" s="11">
        <f>YEAR(RecetteTransport2[[#This Row],[Date de mesure]])</f>
        <v>1900</v>
      </c>
      <c r="Y343" s="2">
        <v>44036</v>
      </c>
      <c r="Z343" s="50">
        <f>_xlfn.ISOWEEKNUM(RecetteTransport2[[#This Row],[Date envoie dossier mesure]])</f>
        <v>30</v>
      </c>
      <c r="AA343" s="50">
        <f>YEAR(RecetteTransport2[[#This Row],[Date envoie dossier mesure]])</f>
        <v>2020</v>
      </c>
      <c r="AB343" s="11">
        <v>0</v>
      </c>
      <c r="AC343" s="11">
        <v>0</v>
      </c>
      <c r="AD343" s="50">
        <v>8</v>
      </c>
      <c r="AE343" s="6" t="e">
        <f>RecetteTransport2[[#All],[Nb de reprises Optiques]]/#REF!</f>
        <v>#REF!</v>
      </c>
      <c r="AF343" s="2">
        <v>44215</v>
      </c>
    </row>
    <row r="344" spans="1:32" hidden="1" x14ac:dyDescent="0.3">
      <c r="A344" t="s">
        <v>12</v>
      </c>
      <c r="B344" t="s">
        <v>21</v>
      </c>
      <c r="C344" t="s">
        <v>56</v>
      </c>
      <c r="D344" t="s">
        <v>114</v>
      </c>
      <c r="F344" t="s">
        <v>49</v>
      </c>
      <c r="G344" s="11" t="s">
        <v>29</v>
      </c>
      <c r="H344" s="11" t="s">
        <v>29</v>
      </c>
      <c r="I344" s="11" t="s">
        <v>29</v>
      </c>
      <c r="J344" s="11">
        <f>RecetteTransport2[[#All],[Fibres TC NOK]]</f>
        <v>0</v>
      </c>
      <c r="K344" s="50">
        <f>RecetteTransport2[[#All],[Valeur Critique]]</f>
        <v>2</v>
      </c>
      <c r="L344" s="50">
        <f>AD:AD</f>
        <v>15</v>
      </c>
      <c r="N344" t="s">
        <v>389</v>
      </c>
      <c r="O344" s="2">
        <v>44264</v>
      </c>
      <c r="P344">
        <f xml:space="preserve"> _xlfn.ISOWEEKNUM(RecetteTransport2[[#This Row],[Date validation Optique]])</f>
        <v>10</v>
      </c>
      <c r="Q344">
        <f>YEAR(RecetteTransport2[[#This Row],[Date validation Optique]])</f>
        <v>2021</v>
      </c>
      <c r="R344" t="s">
        <v>193</v>
      </c>
      <c r="S344" s="2">
        <v>44257</v>
      </c>
      <c r="T344" s="50">
        <f>_xlfn.ISOWEEKNUM(RecetteTransport2[[#This Row],[Date Achevement  Mécanique]])</f>
        <v>9</v>
      </c>
      <c r="U344" s="50">
        <f>YEAR(RecetteTransport2[[#This Row],[Date Achevement  Mécanique]])</f>
        <v>2021</v>
      </c>
      <c r="V344" s="2"/>
      <c r="W344" s="50">
        <f>_xlfn.ISOWEEKNUM(RecetteTransport2[[#This Row],[Date de mesure]])</f>
        <v>52</v>
      </c>
      <c r="X344" s="11">
        <f>YEAR(RecetteTransport2[[#This Row],[Date de mesure]])</f>
        <v>1900</v>
      </c>
      <c r="Y344" s="2">
        <v>44036</v>
      </c>
      <c r="Z344" s="50">
        <f>_xlfn.ISOWEEKNUM(RecetteTransport2[[#This Row],[Date envoie dossier mesure]])</f>
        <v>30</v>
      </c>
      <c r="AA344" s="50">
        <f>YEAR(RecetteTransport2[[#This Row],[Date envoie dossier mesure]])</f>
        <v>2020</v>
      </c>
      <c r="AB344" s="11">
        <v>0</v>
      </c>
      <c r="AC344" s="11">
        <v>2</v>
      </c>
      <c r="AD344" s="50">
        <v>15</v>
      </c>
      <c r="AE344" s="6" t="e">
        <f>RecetteTransport2[[#All],[Nb de reprises Optiques]]/#REF!</f>
        <v>#REF!</v>
      </c>
      <c r="AF344" s="2">
        <v>44215</v>
      </c>
    </row>
    <row r="345" spans="1:32" hidden="1" x14ac:dyDescent="0.3">
      <c r="A345" t="s">
        <v>12</v>
      </c>
      <c r="B345" t="s">
        <v>63</v>
      </c>
      <c r="C345" t="s">
        <v>180</v>
      </c>
      <c r="D345" t="s">
        <v>188</v>
      </c>
      <c r="E345">
        <v>4930111</v>
      </c>
      <c r="F345" t="s">
        <v>49</v>
      </c>
      <c r="G345" s="11"/>
      <c r="H345" s="11" t="s">
        <v>29</v>
      </c>
      <c r="I345" s="11" t="s">
        <v>29</v>
      </c>
      <c r="J345" s="11">
        <f>RecetteTransport2[[#All],[Fibres TC NOK]]</f>
        <v>0</v>
      </c>
      <c r="K345" s="50">
        <f>RecetteTransport2[[#All],[Valeur Critique]]</f>
        <v>0</v>
      </c>
      <c r="L345" s="50">
        <f>AD:AD</f>
        <v>0</v>
      </c>
      <c r="N345" t="s">
        <v>389</v>
      </c>
      <c r="P345">
        <f xml:space="preserve"> _xlfn.ISOWEEKNUM(RecetteTransport2[[#This Row],[Date validation Optique]])</f>
        <v>52</v>
      </c>
      <c r="Q345">
        <f>YEAR(RecetteTransport2[[#This Row],[Date validation Optique]])</f>
        <v>1900</v>
      </c>
      <c r="T345" s="50">
        <f>_xlfn.ISOWEEKNUM(RecetteTransport2[[#This Row],[Date Achevement  Mécanique]])</f>
        <v>52</v>
      </c>
      <c r="U345" s="50">
        <f>YEAR(RecetteTransport2[[#This Row],[Date Achevement  Mécanique]])</f>
        <v>1900</v>
      </c>
      <c r="V345" s="2">
        <v>44194</v>
      </c>
      <c r="W345" s="50">
        <f>_xlfn.ISOWEEKNUM(RecetteTransport2[[#This Row],[Date de mesure]])</f>
        <v>53</v>
      </c>
      <c r="X345" s="11">
        <f>YEAR(RecetteTransport2[[#This Row],[Date de mesure]])</f>
        <v>2020</v>
      </c>
      <c r="Z345" s="50">
        <f>_xlfn.ISOWEEKNUM(RecetteTransport2[[#This Row],[Date envoie dossier mesure]])</f>
        <v>52</v>
      </c>
      <c r="AA345" s="50">
        <f>YEAR(RecetteTransport2[[#This Row],[Date envoie dossier mesure]])</f>
        <v>1900</v>
      </c>
      <c r="AB345" s="11">
        <v>0</v>
      </c>
      <c r="AC345" s="11">
        <v>0</v>
      </c>
      <c r="AD345" s="50">
        <v>0</v>
      </c>
      <c r="AE345" s="6" t="e">
        <f>RecetteTransport2[[#All],[Nb de reprises Optiques]]/#REF!</f>
        <v>#REF!</v>
      </c>
      <c r="AF345" s="6"/>
    </row>
    <row r="346" spans="1:32" hidden="1" x14ac:dyDescent="0.3">
      <c r="A346" t="s">
        <v>12</v>
      </c>
      <c r="B346" t="s">
        <v>63</v>
      </c>
      <c r="C346" t="s">
        <v>180</v>
      </c>
      <c r="D346" t="s">
        <v>200</v>
      </c>
      <c r="G346" s="11"/>
      <c r="H346" s="11" t="s">
        <v>29</v>
      </c>
      <c r="I346" s="11" t="s">
        <v>29</v>
      </c>
      <c r="J346" s="11">
        <f>RecetteTransport2[[#All],[Fibres TC NOK]]</f>
        <v>0</v>
      </c>
      <c r="K346" s="50">
        <f>RecetteTransport2[[#All],[Valeur Critique]]</f>
        <v>0</v>
      </c>
      <c r="L346" s="50">
        <f>AD:AD</f>
        <v>5</v>
      </c>
      <c r="N346" t="s">
        <v>65</v>
      </c>
      <c r="P346">
        <f xml:space="preserve"> _xlfn.ISOWEEKNUM(RecetteTransport2[[#This Row],[Date validation Optique]])</f>
        <v>52</v>
      </c>
      <c r="Q346">
        <f>YEAR(RecetteTransport2[[#This Row],[Date validation Optique]])</f>
        <v>1900</v>
      </c>
      <c r="T346" s="50">
        <f>_xlfn.ISOWEEKNUM(RecetteTransport2[[#This Row],[Date Achevement  Mécanique]])</f>
        <v>52</v>
      </c>
      <c r="U346" s="50">
        <f>YEAR(RecetteTransport2[[#This Row],[Date Achevement  Mécanique]])</f>
        <v>1900</v>
      </c>
      <c r="V346" s="2">
        <v>44222</v>
      </c>
      <c r="W346" s="50">
        <f>_xlfn.ISOWEEKNUM(RecetteTransport2[[#This Row],[Date de mesure]])</f>
        <v>4</v>
      </c>
      <c r="X346" s="11">
        <f>YEAR(RecetteTransport2[[#This Row],[Date de mesure]])</f>
        <v>2021</v>
      </c>
      <c r="Y346" s="2">
        <v>44231</v>
      </c>
      <c r="Z346" s="50">
        <f>_xlfn.ISOWEEKNUM(RecetteTransport2[[#This Row],[Date envoie dossier mesure]])</f>
        <v>5</v>
      </c>
      <c r="AA346" s="50">
        <f>YEAR(RecetteTransport2[[#This Row],[Date envoie dossier mesure]])</f>
        <v>2021</v>
      </c>
      <c r="AB346" s="11">
        <v>0</v>
      </c>
      <c r="AC346" s="11">
        <v>0</v>
      </c>
      <c r="AD346" s="50">
        <v>5</v>
      </c>
      <c r="AE346" s="6" t="e">
        <f>RecetteTransport2[[#All],[Nb de reprises Optiques]]/#REF!</f>
        <v>#REF!</v>
      </c>
      <c r="AF346" s="6"/>
    </row>
    <row r="347" spans="1:32" hidden="1" x14ac:dyDescent="0.3">
      <c r="A347" t="s">
        <v>12</v>
      </c>
      <c r="B347" t="s">
        <v>63</v>
      </c>
      <c r="C347" t="s">
        <v>209</v>
      </c>
      <c r="D347" t="s">
        <v>208</v>
      </c>
      <c r="G347" s="11"/>
      <c r="H347" s="11" t="s">
        <v>29</v>
      </c>
      <c r="I347" s="11" t="s">
        <v>29</v>
      </c>
      <c r="J347" s="11">
        <f>RecetteTransport2[[#All],[Fibres TC NOK]]</f>
        <v>0</v>
      </c>
      <c r="K347" s="50">
        <f>RecetteTransport2[[#All],[Valeur Critique]]</f>
        <v>0</v>
      </c>
      <c r="L347" s="50">
        <f>AD:AD</f>
        <v>12</v>
      </c>
      <c r="N347" t="s">
        <v>65</v>
      </c>
      <c r="P347">
        <f xml:space="preserve"> _xlfn.ISOWEEKNUM(RecetteTransport2[[#This Row],[Date validation Optique]])</f>
        <v>52</v>
      </c>
      <c r="Q347">
        <f>YEAR(RecetteTransport2[[#This Row],[Date validation Optique]])</f>
        <v>1900</v>
      </c>
      <c r="T347" s="50">
        <f>_xlfn.ISOWEEKNUM(RecetteTransport2[[#This Row],[Date Achevement  Mécanique]])</f>
        <v>52</v>
      </c>
      <c r="U347" s="50">
        <f>YEAR(RecetteTransport2[[#This Row],[Date Achevement  Mécanique]])</f>
        <v>1900</v>
      </c>
      <c r="V347" s="2">
        <v>44222</v>
      </c>
      <c r="W347" s="50">
        <f>_xlfn.ISOWEEKNUM(RecetteTransport2[[#This Row],[Date de mesure]])</f>
        <v>4</v>
      </c>
      <c r="X347" s="11">
        <f>YEAR(RecetteTransport2[[#This Row],[Date de mesure]])</f>
        <v>2021</v>
      </c>
      <c r="Y347" s="2">
        <v>44231</v>
      </c>
      <c r="Z347" s="50">
        <f>_xlfn.ISOWEEKNUM(RecetteTransport2[[#This Row],[Date envoie dossier mesure]])</f>
        <v>5</v>
      </c>
      <c r="AA347" s="50">
        <f>YEAR(RecetteTransport2[[#This Row],[Date envoie dossier mesure]])</f>
        <v>2021</v>
      </c>
      <c r="AB347" s="11">
        <v>0</v>
      </c>
      <c r="AC347" s="11">
        <v>0</v>
      </c>
      <c r="AD347" s="50">
        <v>12</v>
      </c>
      <c r="AE347" s="6" t="e">
        <f>RecetteTransport2[[#All],[Nb de reprises Optiques]]/#REF!</f>
        <v>#REF!</v>
      </c>
      <c r="AF347" s="6"/>
    </row>
    <row r="348" spans="1:32" hidden="1" x14ac:dyDescent="0.3">
      <c r="A348" t="s">
        <v>12</v>
      </c>
      <c r="B348" t="s">
        <v>63</v>
      </c>
      <c r="C348" t="s">
        <v>180</v>
      </c>
      <c r="D348" t="s">
        <v>181</v>
      </c>
      <c r="E348" t="s">
        <v>189</v>
      </c>
      <c r="F348" t="s">
        <v>49</v>
      </c>
      <c r="G348" s="11"/>
      <c r="H348" s="11" t="s">
        <v>29</v>
      </c>
      <c r="I348" s="11" t="s">
        <v>29</v>
      </c>
      <c r="J348" s="11">
        <f>RecetteTransport2[[#All],[Fibres TC NOK]]</f>
        <v>0</v>
      </c>
      <c r="K348" s="50">
        <f>RecetteTransport2[[#All],[Valeur Critique]]</f>
        <v>0</v>
      </c>
      <c r="L348" s="50">
        <f>AD:AD</f>
        <v>6</v>
      </c>
      <c r="N348" t="s">
        <v>65</v>
      </c>
      <c r="P348">
        <f xml:space="preserve"> _xlfn.ISOWEEKNUM(RecetteTransport2[[#This Row],[Date validation Optique]])</f>
        <v>52</v>
      </c>
      <c r="Q348">
        <f>YEAR(RecetteTransport2[[#This Row],[Date validation Optique]])</f>
        <v>1900</v>
      </c>
      <c r="T348" s="50">
        <f>_xlfn.ISOWEEKNUM(RecetteTransport2[[#This Row],[Date Achevement  Mécanique]])</f>
        <v>52</v>
      </c>
      <c r="U348" s="50">
        <f>YEAR(RecetteTransport2[[#This Row],[Date Achevement  Mécanique]])</f>
        <v>1900</v>
      </c>
      <c r="V348" s="2">
        <v>44194</v>
      </c>
      <c r="W348" s="50">
        <f>_xlfn.ISOWEEKNUM(RecetteTransport2[[#This Row],[Date de mesure]])</f>
        <v>53</v>
      </c>
      <c r="X348" s="11">
        <f>YEAR(RecetteTransport2[[#This Row],[Date de mesure]])</f>
        <v>2020</v>
      </c>
      <c r="Z348" s="50">
        <f>_xlfn.ISOWEEKNUM(RecetteTransport2[[#This Row],[Date envoie dossier mesure]])</f>
        <v>52</v>
      </c>
      <c r="AA348" s="50">
        <f>YEAR(RecetteTransport2[[#This Row],[Date envoie dossier mesure]])</f>
        <v>1900</v>
      </c>
      <c r="AB348" s="11">
        <v>0</v>
      </c>
      <c r="AC348" s="11">
        <v>0</v>
      </c>
      <c r="AD348" s="50">
        <v>6</v>
      </c>
      <c r="AE348" s="6" t="e">
        <f>RecetteTransport2[[#All],[Nb de reprises Optiques]]/#REF!</f>
        <v>#REF!</v>
      </c>
      <c r="AF348" s="6"/>
    </row>
    <row r="349" spans="1:32" hidden="1" x14ac:dyDescent="0.3">
      <c r="A349" t="s">
        <v>12</v>
      </c>
      <c r="B349" t="s">
        <v>21</v>
      </c>
      <c r="C349" t="s">
        <v>56</v>
      </c>
      <c r="D349" t="s">
        <v>119</v>
      </c>
      <c r="F349" t="s">
        <v>49</v>
      </c>
      <c r="G349" s="11" t="s">
        <v>29</v>
      </c>
      <c r="H349" s="11" t="s">
        <v>29</v>
      </c>
      <c r="I349" s="11" t="s">
        <v>29</v>
      </c>
      <c r="J349" s="11">
        <f>RecetteTransport2[[#All],[Fibres TC NOK]]</f>
        <v>0</v>
      </c>
      <c r="K349" s="50">
        <f>RecetteTransport2[[#All],[Valeur Critique]]</f>
        <v>4</v>
      </c>
      <c r="L349" s="50">
        <f>AD:AD</f>
        <v>26</v>
      </c>
      <c r="N349" t="s">
        <v>389</v>
      </c>
      <c r="O349" s="2">
        <v>44264</v>
      </c>
      <c r="P349">
        <f xml:space="preserve"> _xlfn.ISOWEEKNUM(RecetteTransport2[[#This Row],[Date validation Optique]])</f>
        <v>10</v>
      </c>
      <c r="Q349">
        <f>YEAR(RecetteTransport2[[#This Row],[Date validation Optique]])</f>
        <v>2021</v>
      </c>
      <c r="R349" t="s">
        <v>193</v>
      </c>
      <c r="S349" s="2">
        <v>44257</v>
      </c>
      <c r="T349" s="50">
        <f>_xlfn.ISOWEEKNUM(RecetteTransport2[[#This Row],[Date Achevement  Mécanique]])</f>
        <v>9</v>
      </c>
      <c r="U349" s="50">
        <f>YEAR(RecetteTransport2[[#This Row],[Date Achevement  Mécanique]])</f>
        <v>2021</v>
      </c>
      <c r="V349" s="2"/>
      <c r="W349" s="50">
        <f>_xlfn.ISOWEEKNUM(RecetteTransport2[[#This Row],[Date de mesure]])</f>
        <v>52</v>
      </c>
      <c r="X349" s="11">
        <f>YEAR(RecetteTransport2[[#This Row],[Date de mesure]])</f>
        <v>1900</v>
      </c>
      <c r="Y349" s="2">
        <v>44036</v>
      </c>
      <c r="Z349" s="50">
        <f>_xlfn.ISOWEEKNUM(RecetteTransport2[[#This Row],[Date envoie dossier mesure]])</f>
        <v>30</v>
      </c>
      <c r="AA349" s="50">
        <f>YEAR(RecetteTransport2[[#This Row],[Date envoie dossier mesure]])</f>
        <v>2020</v>
      </c>
      <c r="AB349" s="11">
        <v>0</v>
      </c>
      <c r="AC349" s="11">
        <v>4</v>
      </c>
      <c r="AD349" s="50">
        <v>26</v>
      </c>
      <c r="AE349" s="6" t="e">
        <f>RecetteTransport2[[#All],[Nb de reprises Optiques]]/#REF!</f>
        <v>#REF!</v>
      </c>
      <c r="AF349" s="2">
        <v>44215</v>
      </c>
    </row>
    <row r="350" spans="1:32" hidden="1" x14ac:dyDescent="0.3">
      <c r="A350" t="s">
        <v>12</v>
      </c>
      <c r="B350" t="s">
        <v>21</v>
      </c>
      <c r="C350" t="s">
        <v>56</v>
      </c>
      <c r="D350" t="s">
        <v>121</v>
      </c>
      <c r="F350" t="s">
        <v>49</v>
      </c>
      <c r="G350" s="11" t="s">
        <v>29</v>
      </c>
      <c r="H350" s="11" t="s">
        <v>29</v>
      </c>
      <c r="I350" s="11" t="s">
        <v>29</v>
      </c>
      <c r="J350" s="11">
        <f>RecetteTransport2[[#All],[Fibres TC NOK]]</f>
        <v>0</v>
      </c>
      <c r="K350" s="50">
        <f>RecetteTransport2[[#All],[Valeur Critique]]</f>
        <v>0</v>
      </c>
      <c r="L350" s="50">
        <f>AD:AD</f>
        <v>114</v>
      </c>
      <c r="N350" t="s">
        <v>389</v>
      </c>
      <c r="O350" s="2">
        <v>44264</v>
      </c>
      <c r="P350">
        <f xml:space="preserve"> _xlfn.ISOWEEKNUM(RecetteTransport2[[#This Row],[Date validation Optique]])</f>
        <v>10</v>
      </c>
      <c r="Q350">
        <f>YEAR(RecetteTransport2[[#This Row],[Date validation Optique]])</f>
        <v>2021</v>
      </c>
      <c r="R350" t="s">
        <v>193</v>
      </c>
      <c r="S350" s="2">
        <v>44257</v>
      </c>
      <c r="T350" s="50">
        <f>_xlfn.ISOWEEKNUM(RecetteTransport2[[#This Row],[Date Achevement  Mécanique]])</f>
        <v>9</v>
      </c>
      <c r="U350" s="50">
        <f>YEAR(RecetteTransport2[[#This Row],[Date Achevement  Mécanique]])</f>
        <v>2021</v>
      </c>
      <c r="V350" s="2"/>
      <c r="W350" s="50">
        <f>_xlfn.ISOWEEKNUM(RecetteTransport2[[#This Row],[Date de mesure]])</f>
        <v>52</v>
      </c>
      <c r="X350" s="11">
        <f>YEAR(RecetteTransport2[[#This Row],[Date de mesure]])</f>
        <v>1900</v>
      </c>
      <c r="Y350" s="2">
        <v>44036</v>
      </c>
      <c r="Z350" s="50">
        <f>_xlfn.ISOWEEKNUM(RecetteTransport2[[#This Row],[Date envoie dossier mesure]])</f>
        <v>30</v>
      </c>
      <c r="AA350" s="50">
        <f>YEAR(RecetteTransport2[[#This Row],[Date envoie dossier mesure]])</f>
        <v>2020</v>
      </c>
      <c r="AB350" s="11">
        <v>0</v>
      </c>
      <c r="AC350" s="11">
        <v>0</v>
      </c>
      <c r="AD350" s="50">
        <v>114</v>
      </c>
      <c r="AE350" s="6" t="e">
        <f>RecetteTransport2[[#All],[Nb de reprises Optiques]]/#REF!</f>
        <v>#REF!</v>
      </c>
      <c r="AF350" s="2">
        <v>44215</v>
      </c>
    </row>
    <row r="351" spans="1:32" hidden="1" x14ac:dyDescent="0.3">
      <c r="A351" t="s">
        <v>12</v>
      </c>
      <c r="B351" t="s">
        <v>21</v>
      </c>
      <c r="C351" t="s">
        <v>56</v>
      </c>
      <c r="D351" t="s">
        <v>137</v>
      </c>
      <c r="F351" t="s">
        <v>49</v>
      </c>
      <c r="G351" s="11" t="s">
        <v>29</v>
      </c>
      <c r="H351" s="11" t="s">
        <v>29</v>
      </c>
      <c r="I351" s="11" t="s">
        <v>29</v>
      </c>
      <c r="J351" s="11">
        <f>RecetteTransport2[[#All],[Fibres TC NOK]]</f>
        <v>0</v>
      </c>
      <c r="K351" s="50">
        <f>RecetteTransport2[[#All],[Valeur Critique]]</f>
        <v>1</v>
      </c>
      <c r="L351" s="50">
        <f>AD:AD</f>
        <v>9</v>
      </c>
      <c r="N351" t="s">
        <v>389</v>
      </c>
      <c r="O351" s="2">
        <v>44264</v>
      </c>
      <c r="P351">
        <f xml:space="preserve"> _xlfn.ISOWEEKNUM(RecetteTransport2[[#This Row],[Date validation Optique]])</f>
        <v>10</v>
      </c>
      <c r="Q351">
        <f>YEAR(RecetteTransport2[[#This Row],[Date validation Optique]])</f>
        <v>2021</v>
      </c>
      <c r="R351" t="s">
        <v>193</v>
      </c>
      <c r="S351" s="2">
        <v>44257</v>
      </c>
      <c r="T351" s="50">
        <f>_xlfn.ISOWEEKNUM(RecetteTransport2[[#This Row],[Date Achevement  Mécanique]])</f>
        <v>9</v>
      </c>
      <c r="U351" s="50">
        <f>YEAR(RecetteTransport2[[#This Row],[Date Achevement  Mécanique]])</f>
        <v>2021</v>
      </c>
      <c r="V351" s="2"/>
      <c r="W351" s="50">
        <f>_xlfn.ISOWEEKNUM(RecetteTransport2[[#This Row],[Date de mesure]])</f>
        <v>52</v>
      </c>
      <c r="X351" s="11">
        <f>YEAR(RecetteTransport2[[#This Row],[Date de mesure]])</f>
        <v>1900</v>
      </c>
      <c r="Y351" s="2">
        <v>44036</v>
      </c>
      <c r="Z351" s="50">
        <f>_xlfn.ISOWEEKNUM(RecetteTransport2[[#This Row],[Date envoie dossier mesure]])</f>
        <v>30</v>
      </c>
      <c r="AA351" s="50">
        <f>YEAR(RecetteTransport2[[#This Row],[Date envoie dossier mesure]])</f>
        <v>2020</v>
      </c>
      <c r="AB351" s="11">
        <v>0</v>
      </c>
      <c r="AC351" s="11">
        <v>1</v>
      </c>
      <c r="AD351" s="50">
        <v>9</v>
      </c>
      <c r="AE351" s="6" t="e">
        <f>RecetteTransport2[[#All],[Nb de reprises Optiques]]/#REF!</f>
        <v>#REF!</v>
      </c>
      <c r="AF351" s="2">
        <v>44215</v>
      </c>
    </row>
    <row r="352" spans="1:32" hidden="1" x14ac:dyDescent="0.3">
      <c r="A352" t="s">
        <v>12</v>
      </c>
      <c r="B352" t="s">
        <v>21</v>
      </c>
      <c r="C352" t="s">
        <v>56</v>
      </c>
      <c r="D352" t="s">
        <v>89</v>
      </c>
      <c r="E352">
        <v>4930134</v>
      </c>
      <c r="F352" t="s">
        <v>49</v>
      </c>
      <c r="G352" s="11" t="s">
        <v>29</v>
      </c>
      <c r="H352" s="11" t="s">
        <v>29</v>
      </c>
      <c r="I352" s="11" t="s">
        <v>29</v>
      </c>
      <c r="J352" s="11">
        <f>RecetteTransport2[[#All],[Fibres TC NOK]]</f>
        <v>0</v>
      </c>
      <c r="K352" s="50">
        <f>RecetteTransport2[[#All],[Valeur Critique]]</f>
        <v>0</v>
      </c>
      <c r="L352" s="50">
        <f>AD:AD</f>
        <v>0</v>
      </c>
      <c r="N352" t="s">
        <v>389</v>
      </c>
      <c r="O352" s="2">
        <v>44264</v>
      </c>
      <c r="P352">
        <f xml:space="preserve"> _xlfn.ISOWEEKNUM(RecetteTransport2[[#This Row],[Date validation Optique]])</f>
        <v>10</v>
      </c>
      <c r="Q352">
        <f>YEAR(RecetteTransport2[[#This Row],[Date validation Optique]])</f>
        <v>2021</v>
      </c>
      <c r="R352" t="s">
        <v>193</v>
      </c>
      <c r="S352" s="2">
        <v>44257</v>
      </c>
      <c r="T352" s="50">
        <f>_xlfn.ISOWEEKNUM(RecetteTransport2[[#This Row],[Date Achevement  Mécanique]])</f>
        <v>9</v>
      </c>
      <c r="U352" s="50">
        <f>YEAR(RecetteTransport2[[#This Row],[Date Achevement  Mécanique]])</f>
        <v>2021</v>
      </c>
      <c r="V352" s="2"/>
      <c r="W352" s="50">
        <f>_xlfn.ISOWEEKNUM(RecetteTransport2[[#This Row],[Date de mesure]])</f>
        <v>52</v>
      </c>
      <c r="X352" s="11">
        <f>YEAR(RecetteTransport2[[#This Row],[Date de mesure]])</f>
        <v>1900</v>
      </c>
      <c r="Y352" s="2">
        <v>44194</v>
      </c>
      <c r="Z352" s="50">
        <f>_xlfn.ISOWEEKNUM(RecetteTransport2[[#This Row],[Date envoie dossier mesure]])</f>
        <v>53</v>
      </c>
      <c r="AA352" s="50">
        <f>YEAR(RecetteTransport2[[#This Row],[Date envoie dossier mesure]])</f>
        <v>2020</v>
      </c>
      <c r="AB352" s="11">
        <v>0</v>
      </c>
      <c r="AC352" s="11">
        <v>0</v>
      </c>
      <c r="AD352" s="50">
        <v>0</v>
      </c>
      <c r="AE352" s="6" t="e">
        <f>RecetteTransport2[[#All],[Nb de reprises Optiques]]/#REF!</f>
        <v>#REF!</v>
      </c>
      <c r="AF352" s="2">
        <v>44215</v>
      </c>
    </row>
    <row r="353" spans="1:32" hidden="1" x14ac:dyDescent="0.3">
      <c r="A353" t="s">
        <v>12</v>
      </c>
      <c r="B353" t="s">
        <v>21</v>
      </c>
      <c r="C353" t="s">
        <v>56</v>
      </c>
      <c r="D353" t="s">
        <v>120</v>
      </c>
      <c r="F353" t="s">
        <v>49</v>
      </c>
      <c r="G353" s="11" t="s">
        <v>29</v>
      </c>
      <c r="H353" s="11" t="s">
        <v>29</v>
      </c>
      <c r="I353" s="11" t="s">
        <v>29</v>
      </c>
      <c r="J353" s="11">
        <f>RecetteTransport2[[#All],[Fibres TC NOK]]</f>
        <v>0</v>
      </c>
      <c r="K353" s="50">
        <f>RecetteTransport2[[#All],[Valeur Critique]]</f>
        <v>0</v>
      </c>
      <c r="L353" s="50">
        <f>AD:AD</f>
        <v>40</v>
      </c>
      <c r="N353" t="s">
        <v>389</v>
      </c>
      <c r="O353" s="2">
        <v>44264</v>
      </c>
      <c r="P353">
        <f xml:space="preserve"> _xlfn.ISOWEEKNUM(RecetteTransport2[[#This Row],[Date validation Optique]])</f>
        <v>10</v>
      </c>
      <c r="Q353">
        <f>YEAR(RecetteTransport2[[#This Row],[Date validation Optique]])</f>
        <v>2021</v>
      </c>
      <c r="R353" t="s">
        <v>193</v>
      </c>
      <c r="S353" s="2">
        <v>44257</v>
      </c>
      <c r="T353" s="50">
        <f>_xlfn.ISOWEEKNUM(RecetteTransport2[[#This Row],[Date Achevement  Mécanique]])</f>
        <v>9</v>
      </c>
      <c r="U353" s="50">
        <f>YEAR(RecetteTransport2[[#This Row],[Date Achevement  Mécanique]])</f>
        <v>2021</v>
      </c>
      <c r="V353" s="2"/>
      <c r="W353" s="50">
        <f>_xlfn.ISOWEEKNUM(RecetteTransport2[[#This Row],[Date de mesure]])</f>
        <v>52</v>
      </c>
      <c r="X353" s="11">
        <f>YEAR(RecetteTransport2[[#This Row],[Date de mesure]])</f>
        <v>1900</v>
      </c>
      <c r="Y353" s="2">
        <v>44036</v>
      </c>
      <c r="Z353" s="50">
        <f>_xlfn.ISOWEEKNUM(RecetteTransport2[[#This Row],[Date envoie dossier mesure]])</f>
        <v>30</v>
      </c>
      <c r="AA353" s="50">
        <f>YEAR(RecetteTransport2[[#This Row],[Date envoie dossier mesure]])</f>
        <v>2020</v>
      </c>
      <c r="AB353" s="11">
        <v>0</v>
      </c>
      <c r="AC353" s="11">
        <v>0</v>
      </c>
      <c r="AD353" s="50">
        <v>40</v>
      </c>
      <c r="AE353" s="6" t="e">
        <f>RecetteTransport2[[#All],[Nb de reprises Optiques]]/#REF!</f>
        <v>#REF!</v>
      </c>
      <c r="AF353" s="2">
        <v>44215</v>
      </c>
    </row>
    <row r="354" spans="1:32" hidden="1" x14ac:dyDescent="0.3">
      <c r="A354" t="s">
        <v>12</v>
      </c>
      <c r="B354" t="s">
        <v>21</v>
      </c>
      <c r="C354" t="s">
        <v>56</v>
      </c>
      <c r="D354" t="s">
        <v>90</v>
      </c>
      <c r="F354" t="s">
        <v>49</v>
      </c>
      <c r="G354" s="11" t="s">
        <v>29</v>
      </c>
      <c r="H354" s="11" t="s">
        <v>29</v>
      </c>
      <c r="I354" s="11" t="s">
        <v>29</v>
      </c>
      <c r="J354" s="11">
        <f>RecetteTransport2[[#All],[Fibres TC NOK]]</f>
        <v>0</v>
      </c>
      <c r="K354" s="50">
        <f>RecetteTransport2[[#All],[Valeur Critique]]</f>
        <v>0</v>
      </c>
      <c r="L354" s="50">
        <f>AD:AD</f>
        <v>4</v>
      </c>
      <c r="N354" t="s">
        <v>389</v>
      </c>
      <c r="O354" s="2">
        <v>44264</v>
      </c>
      <c r="P354">
        <f xml:space="preserve"> _xlfn.ISOWEEKNUM(RecetteTransport2[[#This Row],[Date validation Optique]])</f>
        <v>10</v>
      </c>
      <c r="Q354">
        <f>YEAR(RecetteTransport2[[#This Row],[Date validation Optique]])</f>
        <v>2021</v>
      </c>
      <c r="R354" t="s">
        <v>193</v>
      </c>
      <c r="S354" s="2">
        <v>44257</v>
      </c>
      <c r="T354" s="50">
        <f>_xlfn.ISOWEEKNUM(RecetteTransport2[[#This Row],[Date Achevement  Mécanique]])</f>
        <v>9</v>
      </c>
      <c r="U354" s="50">
        <f>YEAR(RecetteTransport2[[#This Row],[Date Achevement  Mécanique]])</f>
        <v>2021</v>
      </c>
      <c r="V354" s="2"/>
      <c r="W354" s="50">
        <f>_xlfn.ISOWEEKNUM(RecetteTransport2[[#This Row],[Date de mesure]])</f>
        <v>52</v>
      </c>
      <c r="X354" s="11">
        <f>YEAR(RecetteTransport2[[#This Row],[Date de mesure]])</f>
        <v>1900</v>
      </c>
      <c r="Y354" s="2">
        <v>44036</v>
      </c>
      <c r="Z354" s="50">
        <f>_xlfn.ISOWEEKNUM(RecetteTransport2[[#This Row],[Date envoie dossier mesure]])</f>
        <v>30</v>
      </c>
      <c r="AA354" s="50">
        <f>YEAR(RecetteTransport2[[#This Row],[Date envoie dossier mesure]])</f>
        <v>2020</v>
      </c>
      <c r="AB354" s="11">
        <v>0</v>
      </c>
      <c r="AC354" s="11">
        <v>0</v>
      </c>
      <c r="AD354" s="50">
        <v>4</v>
      </c>
      <c r="AE354" s="6" t="e">
        <f>RecetteTransport2[[#All],[Nb de reprises Optiques]]/#REF!</f>
        <v>#REF!</v>
      </c>
      <c r="AF354" s="2">
        <v>44215</v>
      </c>
    </row>
    <row r="355" spans="1:32" hidden="1" x14ac:dyDescent="0.3">
      <c r="A355" t="s">
        <v>12</v>
      </c>
      <c r="B355" t="s">
        <v>21</v>
      </c>
      <c r="C355" t="s">
        <v>56</v>
      </c>
      <c r="D355" t="s">
        <v>138</v>
      </c>
      <c r="F355" t="s">
        <v>49</v>
      </c>
      <c r="G355" s="11" t="s">
        <v>29</v>
      </c>
      <c r="H355" s="11" t="s">
        <v>29</v>
      </c>
      <c r="I355" s="11" t="s">
        <v>29</v>
      </c>
      <c r="J355" s="11">
        <f>RecetteTransport2[[#All],[Fibres TC NOK]]</f>
        <v>0</v>
      </c>
      <c r="K355" s="50">
        <f>RecetteTransport2[[#All],[Valeur Critique]]</f>
        <v>5</v>
      </c>
      <c r="L355" s="50">
        <f>AD:AD</f>
        <v>33</v>
      </c>
      <c r="N355" t="s">
        <v>389</v>
      </c>
      <c r="O355" s="2">
        <v>44264</v>
      </c>
      <c r="P355">
        <f xml:space="preserve"> _xlfn.ISOWEEKNUM(RecetteTransport2[[#This Row],[Date validation Optique]])</f>
        <v>10</v>
      </c>
      <c r="Q355">
        <f>YEAR(RecetteTransport2[[#This Row],[Date validation Optique]])</f>
        <v>2021</v>
      </c>
      <c r="R355" t="s">
        <v>193</v>
      </c>
      <c r="S355" s="2">
        <v>44257</v>
      </c>
      <c r="T355" s="50">
        <f>_xlfn.ISOWEEKNUM(RecetteTransport2[[#This Row],[Date Achevement  Mécanique]])</f>
        <v>9</v>
      </c>
      <c r="U355" s="50">
        <f>YEAR(RecetteTransport2[[#This Row],[Date Achevement  Mécanique]])</f>
        <v>2021</v>
      </c>
      <c r="V355" s="2"/>
      <c r="W355" s="50">
        <f>_xlfn.ISOWEEKNUM(RecetteTransport2[[#This Row],[Date de mesure]])</f>
        <v>52</v>
      </c>
      <c r="X355" s="11">
        <f>YEAR(RecetteTransport2[[#This Row],[Date de mesure]])</f>
        <v>1900</v>
      </c>
      <c r="Y355" s="2">
        <v>44036</v>
      </c>
      <c r="Z355" s="50">
        <f>_xlfn.ISOWEEKNUM(RecetteTransport2[[#This Row],[Date envoie dossier mesure]])</f>
        <v>30</v>
      </c>
      <c r="AA355" s="50">
        <f>YEAR(RecetteTransport2[[#This Row],[Date envoie dossier mesure]])</f>
        <v>2020</v>
      </c>
      <c r="AB355" s="11">
        <v>0</v>
      </c>
      <c r="AC355" s="11">
        <v>5</v>
      </c>
      <c r="AD355" s="50">
        <v>33</v>
      </c>
      <c r="AE355" s="6" t="e">
        <f>RecetteTransport2[[#All],[Nb de reprises Optiques]]/#REF!</f>
        <v>#REF!</v>
      </c>
      <c r="AF355" s="2">
        <v>44215</v>
      </c>
    </row>
    <row r="356" spans="1:32" hidden="1" x14ac:dyDescent="0.3">
      <c r="A356" t="s">
        <v>12</v>
      </c>
      <c r="B356" t="s">
        <v>21</v>
      </c>
      <c r="C356" t="s">
        <v>56</v>
      </c>
      <c r="D356" t="s">
        <v>118</v>
      </c>
      <c r="F356" t="s">
        <v>49</v>
      </c>
      <c r="G356" s="11" t="s">
        <v>29</v>
      </c>
      <c r="H356" s="11" t="s">
        <v>29</v>
      </c>
      <c r="I356" s="11" t="s">
        <v>29</v>
      </c>
      <c r="J356" s="11">
        <f>RecetteTransport2[[#All],[Fibres TC NOK]]</f>
        <v>0</v>
      </c>
      <c r="K356" s="50">
        <f>RecetteTransport2[[#All],[Valeur Critique]]</f>
        <v>0</v>
      </c>
      <c r="L356" s="50">
        <f>AD:AD</f>
        <v>11</v>
      </c>
      <c r="N356" t="s">
        <v>389</v>
      </c>
      <c r="O356" s="2">
        <v>44264</v>
      </c>
      <c r="P356">
        <f xml:space="preserve"> _xlfn.ISOWEEKNUM(RecetteTransport2[[#This Row],[Date validation Optique]])</f>
        <v>10</v>
      </c>
      <c r="Q356">
        <f>YEAR(RecetteTransport2[[#This Row],[Date validation Optique]])</f>
        <v>2021</v>
      </c>
      <c r="R356" t="s">
        <v>193</v>
      </c>
      <c r="S356" s="2">
        <v>44257</v>
      </c>
      <c r="T356" s="50">
        <f>_xlfn.ISOWEEKNUM(RecetteTransport2[[#This Row],[Date Achevement  Mécanique]])</f>
        <v>9</v>
      </c>
      <c r="U356" s="50">
        <f>YEAR(RecetteTransport2[[#This Row],[Date Achevement  Mécanique]])</f>
        <v>2021</v>
      </c>
      <c r="V356" s="2"/>
      <c r="W356" s="50">
        <f>_xlfn.ISOWEEKNUM(RecetteTransport2[[#This Row],[Date de mesure]])</f>
        <v>52</v>
      </c>
      <c r="X356" s="11">
        <f>YEAR(RecetteTransport2[[#This Row],[Date de mesure]])</f>
        <v>1900</v>
      </c>
      <c r="Y356" s="2">
        <v>44036</v>
      </c>
      <c r="Z356" s="50">
        <f>_xlfn.ISOWEEKNUM(RecetteTransport2[[#This Row],[Date envoie dossier mesure]])</f>
        <v>30</v>
      </c>
      <c r="AA356" s="50">
        <f>YEAR(RecetteTransport2[[#This Row],[Date envoie dossier mesure]])</f>
        <v>2020</v>
      </c>
      <c r="AB356" s="11">
        <v>0</v>
      </c>
      <c r="AC356" s="11">
        <v>0</v>
      </c>
      <c r="AD356" s="50">
        <v>11</v>
      </c>
      <c r="AE356" s="6" t="e">
        <f>RecetteTransport2[[#All],[Nb de reprises Optiques]]/#REF!</f>
        <v>#REF!</v>
      </c>
      <c r="AF356" s="2">
        <v>44215</v>
      </c>
    </row>
    <row r="357" spans="1:32" hidden="1" x14ac:dyDescent="0.3">
      <c r="A357" t="s">
        <v>12</v>
      </c>
      <c r="B357" t="s">
        <v>21</v>
      </c>
      <c r="C357" t="s">
        <v>56</v>
      </c>
      <c r="D357" t="s">
        <v>139</v>
      </c>
      <c r="F357" t="s">
        <v>49</v>
      </c>
      <c r="G357" s="11" t="s">
        <v>29</v>
      </c>
      <c r="H357" s="11" t="s">
        <v>29</v>
      </c>
      <c r="I357" s="11" t="s">
        <v>29</v>
      </c>
      <c r="J357" s="11">
        <f>RecetteTransport2[[#All],[Fibres TC NOK]]</f>
        <v>0</v>
      </c>
      <c r="K357" s="50">
        <f>RecetteTransport2[[#All],[Valeur Critique]]</f>
        <v>0</v>
      </c>
      <c r="L357" s="50">
        <f>AD:AD</f>
        <v>74</v>
      </c>
      <c r="N357" t="s">
        <v>389</v>
      </c>
      <c r="O357" s="2">
        <v>44264</v>
      </c>
      <c r="P357">
        <f xml:space="preserve"> _xlfn.ISOWEEKNUM(RecetteTransport2[[#This Row],[Date validation Optique]])</f>
        <v>10</v>
      </c>
      <c r="Q357">
        <f>YEAR(RecetteTransport2[[#This Row],[Date validation Optique]])</f>
        <v>2021</v>
      </c>
      <c r="R357" t="s">
        <v>193</v>
      </c>
      <c r="S357" s="2">
        <v>44257</v>
      </c>
      <c r="T357" s="50">
        <f>_xlfn.ISOWEEKNUM(RecetteTransport2[[#This Row],[Date Achevement  Mécanique]])</f>
        <v>9</v>
      </c>
      <c r="U357" s="50">
        <f>YEAR(RecetteTransport2[[#This Row],[Date Achevement  Mécanique]])</f>
        <v>2021</v>
      </c>
      <c r="V357" s="2"/>
      <c r="W357" s="50">
        <f>_xlfn.ISOWEEKNUM(RecetteTransport2[[#This Row],[Date de mesure]])</f>
        <v>52</v>
      </c>
      <c r="X357" s="11">
        <f>YEAR(RecetteTransport2[[#This Row],[Date de mesure]])</f>
        <v>1900</v>
      </c>
      <c r="Y357" s="2">
        <v>44036</v>
      </c>
      <c r="Z357" s="50">
        <f>_xlfn.ISOWEEKNUM(RecetteTransport2[[#This Row],[Date envoie dossier mesure]])</f>
        <v>30</v>
      </c>
      <c r="AA357" s="50">
        <f>YEAR(RecetteTransport2[[#This Row],[Date envoie dossier mesure]])</f>
        <v>2020</v>
      </c>
      <c r="AB357" s="11">
        <v>0</v>
      </c>
      <c r="AC357" s="11">
        <v>0</v>
      </c>
      <c r="AD357" s="50">
        <v>74</v>
      </c>
      <c r="AE357" s="6" t="e">
        <f>RecetteTransport2[[#All],[Nb de reprises Optiques]]/#REF!</f>
        <v>#REF!</v>
      </c>
      <c r="AF357" s="2">
        <v>44215</v>
      </c>
    </row>
    <row r="358" spans="1:32" hidden="1" x14ac:dyDescent="0.3">
      <c r="A358" t="s">
        <v>12</v>
      </c>
      <c r="B358" t="s">
        <v>21</v>
      </c>
      <c r="C358" t="s">
        <v>56</v>
      </c>
      <c r="D358" t="s">
        <v>115</v>
      </c>
      <c r="F358" t="s">
        <v>49</v>
      </c>
      <c r="G358" s="11" t="s">
        <v>29</v>
      </c>
      <c r="H358" s="11" t="s">
        <v>29</v>
      </c>
      <c r="I358" s="11" t="s">
        <v>29</v>
      </c>
      <c r="J358" s="11">
        <f>RecetteTransport2[[#All],[Fibres TC NOK]]</f>
        <v>0</v>
      </c>
      <c r="K358" s="50">
        <f>RecetteTransport2[[#All],[Valeur Critique]]</f>
        <v>0</v>
      </c>
      <c r="L358" s="50">
        <f>AD:AD</f>
        <v>1</v>
      </c>
      <c r="N358" t="s">
        <v>389</v>
      </c>
      <c r="O358" s="2">
        <v>44264</v>
      </c>
      <c r="P358">
        <f xml:space="preserve"> _xlfn.ISOWEEKNUM(RecetteTransport2[[#This Row],[Date validation Optique]])</f>
        <v>10</v>
      </c>
      <c r="Q358">
        <f>YEAR(RecetteTransport2[[#This Row],[Date validation Optique]])</f>
        <v>2021</v>
      </c>
      <c r="R358" t="s">
        <v>193</v>
      </c>
      <c r="S358" s="2">
        <v>44257</v>
      </c>
      <c r="T358" s="50">
        <f>_xlfn.ISOWEEKNUM(RecetteTransport2[[#This Row],[Date Achevement  Mécanique]])</f>
        <v>9</v>
      </c>
      <c r="U358" s="50">
        <f>YEAR(RecetteTransport2[[#This Row],[Date Achevement  Mécanique]])</f>
        <v>2021</v>
      </c>
      <c r="V358" s="2"/>
      <c r="W358" s="50">
        <f>_xlfn.ISOWEEKNUM(RecetteTransport2[[#This Row],[Date de mesure]])</f>
        <v>52</v>
      </c>
      <c r="X358" s="11">
        <f>YEAR(RecetteTransport2[[#This Row],[Date de mesure]])</f>
        <v>1900</v>
      </c>
      <c r="Y358" s="2">
        <v>44036</v>
      </c>
      <c r="Z358" s="50">
        <f>_xlfn.ISOWEEKNUM(RecetteTransport2[[#This Row],[Date envoie dossier mesure]])</f>
        <v>30</v>
      </c>
      <c r="AA358" s="50">
        <f>YEAR(RecetteTransport2[[#This Row],[Date envoie dossier mesure]])</f>
        <v>2020</v>
      </c>
      <c r="AB358" s="11">
        <v>0</v>
      </c>
      <c r="AC358" s="11">
        <v>0</v>
      </c>
      <c r="AD358" s="50">
        <v>1</v>
      </c>
      <c r="AE358" s="6" t="e">
        <f>RecetteTransport2[[#All],[Nb de reprises Optiques]]/#REF!</f>
        <v>#REF!</v>
      </c>
      <c r="AF358" s="2">
        <v>44215</v>
      </c>
    </row>
    <row r="359" spans="1:32" hidden="1" x14ac:dyDescent="0.3">
      <c r="A359" t="s">
        <v>12</v>
      </c>
      <c r="B359" t="s">
        <v>21</v>
      </c>
      <c r="C359" t="s">
        <v>56</v>
      </c>
      <c r="D359" t="s">
        <v>140</v>
      </c>
      <c r="F359" t="s">
        <v>49</v>
      </c>
      <c r="G359" s="11" t="s">
        <v>29</v>
      </c>
      <c r="H359" s="11" t="s">
        <v>29</v>
      </c>
      <c r="I359" s="11" t="s">
        <v>29</v>
      </c>
      <c r="J359" s="11">
        <f>RecetteTransport2[[#All],[Fibres TC NOK]]</f>
        <v>0</v>
      </c>
      <c r="K359" s="50">
        <f>RecetteTransport2[[#All],[Valeur Critique]]</f>
        <v>1</v>
      </c>
      <c r="L359" s="50">
        <f>AD:AD</f>
        <v>21</v>
      </c>
      <c r="N359" t="s">
        <v>389</v>
      </c>
      <c r="O359" s="2">
        <v>44264</v>
      </c>
      <c r="P359">
        <f xml:space="preserve"> _xlfn.ISOWEEKNUM(RecetteTransport2[[#This Row],[Date validation Optique]])</f>
        <v>10</v>
      </c>
      <c r="Q359">
        <f>YEAR(RecetteTransport2[[#This Row],[Date validation Optique]])</f>
        <v>2021</v>
      </c>
      <c r="R359" t="s">
        <v>193</v>
      </c>
      <c r="S359" s="2">
        <v>44257</v>
      </c>
      <c r="T359" s="50">
        <f>_xlfn.ISOWEEKNUM(RecetteTransport2[[#This Row],[Date Achevement  Mécanique]])</f>
        <v>9</v>
      </c>
      <c r="U359" s="50">
        <f>YEAR(RecetteTransport2[[#This Row],[Date Achevement  Mécanique]])</f>
        <v>2021</v>
      </c>
      <c r="V359" s="2"/>
      <c r="W359" s="50">
        <f>_xlfn.ISOWEEKNUM(RecetteTransport2[[#This Row],[Date de mesure]])</f>
        <v>52</v>
      </c>
      <c r="X359" s="11">
        <f>YEAR(RecetteTransport2[[#This Row],[Date de mesure]])</f>
        <v>1900</v>
      </c>
      <c r="Y359" s="2">
        <v>44036</v>
      </c>
      <c r="Z359" s="50">
        <f>_xlfn.ISOWEEKNUM(RecetteTransport2[[#This Row],[Date envoie dossier mesure]])</f>
        <v>30</v>
      </c>
      <c r="AA359" s="50">
        <f>YEAR(RecetteTransport2[[#This Row],[Date envoie dossier mesure]])</f>
        <v>2020</v>
      </c>
      <c r="AB359" s="11">
        <v>0</v>
      </c>
      <c r="AC359" s="11">
        <v>1</v>
      </c>
      <c r="AD359" s="50">
        <v>21</v>
      </c>
      <c r="AE359" s="6" t="e">
        <f>RecetteTransport2[[#All],[Nb de reprises Optiques]]/#REF!</f>
        <v>#REF!</v>
      </c>
      <c r="AF359" s="2">
        <v>44215</v>
      </c>
    </row>
    <row r="360" spans="1:32" hidden="1" x14ac:dyDescent="0.3">
      <c r="A360" t="s">
        <v>12</v>
      </c>
      <c r="B360" t="s">
        <v>21</v>
      </c>
      <c r="C360" t="s">
        <v>56</v>
      </c>
      <c r="D360" t="s">
        <v>110</v>
      </c>
      <c r="F360" t="s">
        <v>49</v>
      </c>
      <c r="G360" s="11" t="s">
        <v>29</v>
      </c>
      <c r="H360" s="11" t="s">
        <v>29</v>
      </c>
      <c r="I360" s="11" t="s">
        <v>29</v>
      </c>
      <c r="J360" s="11">
        <f>RecetteTransport2[[#All],[Fibres TC NOK]]</f>
        <v>0</v>
      </c>
      <c r="K360" s="50">
        <f>RecetteTransport2[[#All],[Valeur Critique]]</f>
        <v>0</v>
      </c>
      <c r="L360" s="50">
        <f>AD:AD</f>
        <v>6</v>
      </c>
      <c r="N360" t="s">
        <v>389</v>
      </c>
      <c r="O360" s="2">
        <v>44264</v>
      </c>
      <c r="P360">
        <f xml:space="preserve"> _xlfn.ISOWEEKNUM(RecetteTransport2[[#This Row],[Date validation Optique]])</f>
        <v>10</v>
      </c>
      <c r="Q360">
        <f>YEAR(RecetteTransport2[[#This Row],[Date validation Optique]])</f>
        <v>2021</v>
      </c>
      <c r="R360" t="s">
        <v>193</v>
      </c>
      <c r="S360" s="2">
        <v>44257</v>
      </c>
      <c r="T360" s="50">
        <f>_xlfn.ISOWEEKNUM(RecetteTransport2[[#This Row],[Date Achevement  Mécanique]])</f>
        <v>9</v>
      </c>
      <c r="U360" s="50">
        <f>YEAR(RecetteTransport2[[#This Row],[Date Achevement  Mécanique]])</f>
        <v>2021</v>
      </c>
      <c r="V360" s="2"/>
      <c r="W360" s="50">
        <f>_xlfn.ISOWEEKNUM(RecetteTransport2[[#This Row],[Date de mesure]])</f>
        <v>52</v>
      </c>
      <c r="X360" s="11">
        <f>YEAR(RecetteTransport2[[#This Row],[Date de mesure]])</f>
        <v>1900</v>
      </c>
      <c r="Y360" s="2">
        <v>44036</v>
      </c>
      <c r="Z360" s="50">
        <f>_xlfn.ISOWEEKNUM(RecetteTransport2[[#This Row],[Date envoie dossier mesure]])</f>
        <v>30</v>
      </c>
      <c r="AA360" s="50">
        <f>YEAR(RecetteTransport2[[#This Row],[Date envoie dossier mesure]])</f>
        <v>2020</v>
      </c>
      <c r="AB360" s="11">
        <v>0</v>
      </c>
      <c r="AC360" s="11">
        <v>0</v>
      </c>
      <c r="AD360" s="50">
        <v>6</v>
      </c>
      <c r="AE360" s="6" t="e">
        <f>RecetteTransport2[[#All],[Nb de reprises Optiques]]/#REF!</f>
        <v>#REF!</v>
      </c>
      <c r="AF360" s="2">
        <v>44215</v>
      </c>
    </row>
    <row r="361" spans="1:32" hidden="1" x14ac:dyDescent="0.3">
      <c r="A361" t="s">
        <v>12</v>
      </c>
      <c r="B361" t="s">
        <v>21</v>
      </c>
      <c r="C361" t="s">
        <v>56</v>
      </c>
      <c r="D361" t="s">
        <v>109</v>
      </c>
      <c r="F361" t="s">
        <v>49</v>
      </c>
      <c r="G361" s="11" t="s">
        <v>29</v>
      </c>
      <c r="H361" s="11" t="s">
        <v>29</v>
      </c>
      <c r="I361" s="11" t="s">
        <v>29</v>
      </c>
      <c r="J361" s="11">
        <f>RecetteTransport2[[#All],[Fibres TC NOK]]</f>
        <v>0</v>
      </c>
      <c r="K361" s="50">
        <f>RecetteTransport2[[#All],[Valeur Critique]]</f>
        <v>0</v>
      </c>
      <c r="L361" s="50">
        <f>AD:AD</f>
        <v>48</v>
      </c>
      <c r="N361" t="s">
        <v>389</v>
      </c>
      <c r="O361" s="2">
        <v>44264</v>
      </c>
      <c r="P361">
        <f xml:space="preserve"> _xlfn.ISOWEEKNUM(RecetteTransport2[[#This Row],[Date validation Optique]])</f>
        <v>10</v>
      </c>
      <c r="Q361">
        <f>YEAR(RecetteTransport2[[#This Row],[Date validation Optique]])</f>
        <v>2021</v>
      </c>
      <c r="R361" t="s">
        <v>193</v>
      </c>
      <c r="S361" s="2">
        <v>44257</v>
      </c>
      <c r="T361" s="50">
        <f>_xlfn.ISOWEEKNUM(RecetteTransport2[[#This Row],[Date Achevement  Mécanique]])</f>
        <v>9</v>
      </c>
      <c r="U361" s="50">
        <f>YEAR(RecetteTransport2[[#This Row],[Date Achevement  Mécanique]])</f>
        <v>2021</v>
      </c>
      <c r="V361" s="2"/>
      <c r="W361" s="50">
        <f>_xlfn.ISOWEEKNUM(RecetteTransport2[[#This Row],[Date de mesure]])</f>
        <v>52</v>
      </c>
      <c r="X361" s="11">
        <f>YEAR(RecetteTransport2[[#This Row],[Date de mesure]])</f>
        <v>1900</v>
      </c>
      <c r="Y361" s="2">
        <v>44036</v>
      </c>
      <c r="Z361" s="50">
        <f>_xlfn.ISOWEEKNUM(RecetteTransport2[[#This Row],[Date envoie dossier mesure]])</f>
        <v>30</v>
      </c>
      <c r="AA361" s="50">
        <f>YEAR(RecetteTransport2[[#This Row],[Date envoie dossier mesure]])</f>
        <v>2020</v>
      </c>
      <c r="AB361" s="11">
        <v>0</v>
      </c>
      <c r="AC361" s="11">
        <v>0</v>
      </c>
      <c r="AD361" s="50">
        <v>48</v>
      </c>
      <c r="AE361" s="6" t="e">
        <f>RecetteTransport2[[#All],[Nb de reprises Optiques]]/#REF!</f>
        <v>#REF!</v>
      </c>
      <c r="AF361" s="2">
        <v>44215</v>
      </c>
    </row>
    <row r="362" spans="1:32" x14ac:dyDescent="0.3">
      <c r="A362" t="s">
        <v>12</v>
      </c>
      <c r="D362" t="s">
        <v>588</v>
      </c>
      <c r="G362" s="11"/>
      <c r="H362" s="11"/>
      <c r="I362" s="11"/>
      <c r="J362" s="11">
        <f>RecetteTransport2[[#All],[Fibres TC NOK]]</f>
        <v>0</v>
      </c>
      <c r="K362" s="50">
        <f>RecetteTransport2[[#All],[Valeur Critique]]</f>
        <v>0</v>
      </c>
      <c r="L362" s="50">
        <f t="shared" ref="L362:L365" si="25">AD:AD</f>
        <v>0</v>
      </c>
      <c r="O362" s="2"/>
      <c r="P362" s="11">
        <f xml:space="preserve"> _xlfn.ISOWEEKNUM(RecetteTransport2[[#This Row],[Date validation Optique]])</f>
        <v>52</v>
      </c>
      <c r="Q362" s="11">
        <f>YEAR(RecetteTransport2[[#This Row],[Date validation Optique]])</f>
        <v>1900</v>
      </c>
      <c r="S362" s="47" t="e">
        <f>#REF!+10</f>
        <v>#REF!</v>
      </c>
      <c r="T362" s="50" t="e">
        <f>_xlfn.ISOWEEKNUM(RecetteTransport2[[#This Row],[Date Achevement  Mécanique]])</f>
        <v>#REF!</v>
      </c>
      <c r="U362" s="50" t="e">
        <f>YEAR(RecetteTransport2[[#This Row],[Date Achevement  Mécanique]])</f>
        <v>#REF!</v>
      </c>
      <c r="V362" s="47"/>
      <c r="W362" s="50">
        <f>_xlfn.ISOWEEKNUM(RecetteTransport2[[#This Row],[Date de mesure]])</f>
        <v>52</v>
      </c>
      <c r="X362" s="11">
        <f>YEAR(RecetteTransport2[[#This Row],[Date de mesure]])</f>
        <v>1900</v>
      </c>
      <c r="Y362" s="47"/>
      <c r="Z362" s="50">
        <f>_xlfn.ISOWEEKNUM(RecetteTransport2[[#This Row],[Date envoie dossier mesure]])</f>
        <v>52</v>
      </c>
      <c r="AA362" s="50">
        <f>YEAR(RecetteTransport2[[#This Row],[Date envoie dossier mesure]])</f>
        <v>1900</v>
      </c>
      <c r="AB362" s="11"/>
      <c r="AC362" s="11"/>
      <c r="AE362" s="6" t="e">
        <f>RecetteTransport2[[#All],[Nb de reprises Optiques]]/#REF!</f>
        <v>#REF!</v>
      </c>
      <c r="AF362" s="6"/>
    </row>
    <row r="363" spans="1:32" x14ac:dyDescent="0.3">
      <c r="A363" t="s">
        <v>12</v>
      </c>
      <c r="D363" t="s">
        <v>589</v>
      </c>
      <c r="G363" s="11"/>
      <c r="H363" s="11"/>
      <c r="I363" s="11"/>
      <c r="J363" s="11">
        <f>RecetteTransport2[[#All],[Fibres TC NOK]]</f>
        <v>0</v>
      </c>
      <c r="K363" s="50">
        <f>RecetteTransport2[[#All],[Valeur Critique]]</f>
        <v>0</v>
      </c>
      <c r="L363" s="50">
        <f t="shared" si="25"/>
        <v>0</v>
      </c>
      <c r="O363" s="2"/>
      <c r="P363" s="11">
        <f xml:space="preserve"> _xlfn.ISOWEEKNUM(RecetteTransport2[[#This Row],[Date validation Optique]])</f>
        <v>52</v>
      </c>
      <c r="Q363" s="11">
        <f>YEAR(RecetteTransport2[[#This Row],[Date validation Optique]])</f>
        <v>1900</v>
      </c>
      <c r="S363" s="47" t="e">
        <f>#REF!+10</f>
        <v>#REF!</v>
      </c>
      <c r="T363" s="50" t="e">
        <f>_xlfn.ISOWEEKNUM(RecetteTransport2[[#This Row],[Date Achevement  Mécanique]])</f>
        <v>#REF!</v>
      </c>
      <c r="U363" s="50" t="e">
        <f>YEAR(RecetteTransport2[[#This Row],[Date Achevement  Mécanique]])</f>
        <v>#REF!</v>
      </c>
      <c r="V363" s="47"/>
      <c r="W363" s="50">
        <f>_xlfn.ISOWEEKNUM(RecetteTransport2[[#This Row],[Date de mesure]])</f>
        <v>52</v>
      </c>
      <c r="X363" s="11">
        <f>YEAR(RecetteTransport2[[#This Row],[Date de mesure]])</f>
        <v>1900</v>
      </c>
      <c r="Y363" s="47"/>
      <c r="Z363" s="50">
        <f>_xlfn.ISOWEEKNUM(RecetteTransport2[[#This Row],[Date envoie dossier mesure]])</f>
        <v>52</v>
      </c>
      <c r="AA363" s="50">
        <f>YEAR(RecetteTransport2[[#This Row],[Date envoie dossier mesure]])</f>
        <v>1900</v>
      </c>
      <c r="AB363" s="11"/>
      <c r="AC363" s="11"/>
      <c r="AE363" s="6" t="e">
        <f>RecetteTransport2[[#All],[Nb de reprises Optiques]]/#REF!</f>
        <v>#REF!</v>
      </c>
      <c r="AF363" s="6"/>
    </row>
    <row r="364" spans="1:32" x14ac:dyDescent="0.3">
      <c r="A364" t="s">
        <v>12</v>
      </c>
      <c r="B364" t="s">
        <v>20</v>
      </c>
      <c r="C364" t="s">
        <v>355</v>
      </c>
      <c r="D364" t="s">
        <v>357</v>
      </c>
      <c r="G364" s="11"/>
      <c r="H364" s="11"/>
      <c r="I364" s="11"/>
      <c r="J364" s="11">
        <f>RecetteTransport2[[#All],[Fibres TC NOK]]</f>
        <v>0</v>
      </c>
      <c r="K364" s="50">
        <f>RecetteTransport2[[#All],[Valeur Critique]]</f>
        <v>0</v>
      </c>
      <c r="L364" s="50">
        <f t="shared" si="25"/>
        <v>0</v>
      </c>
      <c r="P364">
        <f xml:space="preserve"> _xlfn.ISOWEEKNUM(RecetteTransport2[[#This Row],[Date validation Optique]])</f>
        <v>52</v>
      </c>
      <c r="Q364">
        <f>YEAR(RecetteTransport2[[#This Row],[Date validation Optique]])</f>
        <v>1900</v>
      </c>
      <c r="T364" s="50">
        <f>_xlfn.ISOWEEKNUM(RecetteTransport2[[#This Row],[Date Achevement  Mécanique]])</f>
        <v>52</v>
      </c>
      <c r="U364" s="50">
        <f>YEAR(RecetteTransport2[[#This Row],[Date Achevement  Mécanique]])</f>
        <v>1900</v>
      </c>
      <c r="V364" s="2"/>
      <c r="W364" s="50">
        <f>_xlfn.ISOWEEKNUM(RecetteTransport2[[#This Row],[Date de mesure]])</f>
        <v>52</v>
      </c>
      <c r="X364" s="11">
        <f>YEAR(RecetteTransport2[[#This Row],[Date de mesure]])</f>
        <v>1900</v>
      </c>
      <c r="Z364" s="50">
        <f>_xlfn.ISOWEEKNUM(RecetteTransport2[[#This Row],[Date envoie dossier mesure]])</f>
        <v>52</v>
      </c>
      <c r="AA364" s="50">
        <f>YEAR(RecetteTransport2[[#This Row],[Date envoie dossier mesure]])</f>
        <v>1900</v>
      </c>
      <c r="AB364" s="11"/>
      <c r="AC364" s="11"/>
      <c r="AE364" s="6" t="e">
        <f>RecetteTransport2[[#All],[Nb de reprises Optiques]]/#REF!</f>
        <v>#REF!</v>
      </c>
      <c r="AF364" s="6"/>
    </row>
    <row r="365" spans="1:32" x14ac:dyDescent="0.3">
      <c r="A365" t="s">
        <v>12</v>
      </c>
      <c r="B365" t="s">
        <v>20</v>
      </c>
      <c r="C365" t="s">
        <v>355</v>
      </c>
      <c r="D365" t="s">
        <v>358</v>
      </c>
      <c r="G365" s="11"/>
      <c r="H365" s="11"/>
      <c r="I365" s="11"/>
      <c r="J365" s="11">
        <f>RecetteTransport2[[#All],[Fibres TC NOK]]</f>
        <v>0</v>
      </c>
      <c r="K365" s="50">
        <f>RecetteTransport2[[#All],[Valeur Critique]]</f>
        <v>0</v>
      </c>
      <c r="L365" s="50">
        <f t="shared" si="25"/>
        <v>0</v>
      </c>
      <c r="P365">
        <f xml:space="preserve"> _xlfn.ISOWEEKNUM(RecetteTransport2[[#This Row],[Date validation Optique]])</f>
        <v>52</v>
      </c>
      <c r="Q365">
        <f>YEAR(RecetteTransport2[[#This Row],[Date validation Optique]])</f>
        <v>1900</v>
      </c>
      <c r="T365" s="50">
        <f>_xlfn.ISOWEEKNUM(RecetteTransport2[[#This Row],[Date Achevement  Mécanique]])</f>
        <v>52</v>
      </c>
      <c r="U365" s="50">
        <f>YEAR(RecetteTransport2[[#This Row],[Date Achevement  Mécanique]])</f>
        <v>1900</v>
      </c>
      <c r="V365" s="2"/>
      <c r="W365" s="50">
        <f>_xlfn.ISOWEEKNUM(RecetteTransport2[[#This Row],[Date de mesure]])</f>
        <v>52</v>
      </c>
      <c r="X365" s="11">
        <f>YEAR(RecetteTransport2[[#This Row],[Date de mesure]])</f>
        <v>1900</v>
      </c>
      <c r="Z365" s="50">
        <f>_xlfn.ISOWEEKNUM(RecetteTransport2[[#This Row],[Date envoie dossier mesure]])</f>
        <v>52</v>
      </c>
      <c r="AA365" s="50">
        <f>YEAR(RecetteTransport2[[#This Row],[Date envoie dossier mesure]])</f>
        <v>1900</v>
      </c>
      <c r="AB365" s="11"/>
      <c r="AC365" s="11"/>
      <c r="AE365" s="6" t="e">
        <f>RecetteTransport2[[#All],[Nb de reprises Optiques]]/#REF!</f>
        <v>#REF!</v>
      </c>
      <c r="AF365" s="6"/>
    </row>
    <row r="366" spans="1:32" hidden="1" x14ac:dyDescent="0.3">
      <c r="A366" t="s">
        <v>12</v>
      </c>
      <c r="B366" t="s">
        <v>20</v>
      </c>
      <c r="C366" t="s">
        <v>341</v>
      </c>
      <c r="D366" t="s">
        <v>345</v>
      </c>
      <c r="G366" s="11"/>
      <c r="H366" s="11" t="s">
        <v>29</v>
      </c>
      <c r="I366" s="11" t="s">
        <v>29</v>
      </c>
      <c r="J366" s="11">
        <f>RecetteTransport2[[#All],[Fibres TC NOK]]</f>
        <v>0</v>
      </c>
      <c r="K366" s="50">
        <f>RecetteTransport2[[#All],[Valeur Critique]]</f>
        <v>0</v>
      </c>
      <c r="L366" s="50">
        <f>AD:AD</f>
        <v>7</v>
      </c>
      <c r="N366" t="s">
        <v>65</v>
      </c>
      <c r="P366">
        <f xml:space="preserve"> _xlfn.ISOWEEKNUM(RecetteTransport2[[#This Row],[Date validation Optique]])</f>
        <v>52</v>
      </c>
      <c r="Q366">
        <f>YEAR(RecetteTransport2[[#This Row],[Date validation Optique]])</f>
        <v>1900</v>
      </c>
      <c r="T366" s="50">
        <f>_xlfn.ISOWEEKNUM(RecetteTransport2[[#This Row],[Date Achevement  Mécanique]])</f>
        <v>52</v>
      </c>
      <c r="U366" s="50">
        <f>YEAR(RecetteTransport2[[#This Row],[Date Achevement  Mécanique]])</f>
        <v>1900</v>
      </c>
      <c r="V366" s="2">
        <v>44267</v>
      </c>
      <c r="W366" s="50">
        <f>_xlfn.ISOWEEKNUM(RecetteTransport2[[#This Row],[Date de mesure]])</f>
        <v>10</v>
      </c>
      <c r="X366" s="11">
        <f>YEAR(RecetteTransport2[[#This Row],[Date de mesure]])</f>
        <v>2021</v>
      </c>
      <c r="Y366" s="2">
        <v>44270</v>
      </c>
      <c r="Z366" s="50">
        <f>_xlfn.ISOWEEKNUM(RecetteTransport2[[#This Row],[Date envoie dossier mesure]])</f>
        <v>11</v>
      </c>
      <c r="AA366" s="50">
        <f>YEAR(RecetteTransport2[[#This Row],[Date envoie dossier mesure]])</f>
        <v>2021</v>
      </c>
      <c r="AB366" s="11">
        <v>0</v>
      </c>
      <c r="AC366" s="11">
        <v>0</v>
      </c>
      <c r="AD366" s="50">
        <v>7</v>
      </c>
      <c r="AE366" s="6" t="e">
        <f>RecetteTransport2[[#All],[Nb de reprises Optiques]]/#REF!</f>
        <v>#REF!</v>
      </c>
      <c r="AF366" s="6"/>
    </row>
    <row r="367" spans="1:32" hidden="1" x14ac:dyDescent="0.3">
      <c r="A367" t="s">
        <v>12</v>
      </c>
      <c r="B367" t="s">
        <v>13</v>
      </c>
      <c r="C367" t="s">
        <v>41</v>
      </c>
      <c r="D367" t="s">
        <v>398</v>
      </c>
      <c r="F367" t="s">
        <v>397</v>
      </c>
      <c r="G367" s="11" t="s">
        <v>29</v>
      </c>
      <c r="H367" s="11" t="s">
        <v>29</v>
      </c>
      <c r="I367" s="11" t="s">
        <v>29</v>
      </c>
      <c r="J367" s="11">
        <f>RecetteTransport2[[#All],[Fibres TC NOK]]</f>
        <v>0</v>
      </c>
      <c r="K367" s="50">
        <f>RecetteTransport2[[#All],[Valeur Critique]]</f>
        <v>0</v>
      </c>
      <c r="L367" s="50">
        <f>AD:AD</f>
        <v>6</v>
      </c>
      <c r="N367" t="s">
        <v>193</v>
      </c>
      <c r="P367" s="11">
        <f xml:space="preserve"> _xlfn.ISOWEEKNUM(RecetteTransport2[[#This Row],[Date validation Optique]])</f>
        <v>52</v>
      </c>
      <c r="Q367" s="11">
        <f>YEAR(RecetteTransport2[[#This Row],[Date validation Optique]])</f>
        <v>1900</v>
      </c>
      <c r="R367" t="s">
        <v>193</v>
      </c>
      <c r="S367" s="2">
        <v>44253</v>
      </c>
      <c r="T367" s="50">
        <f>_xlfn.ISOWEEKNUM(RecetteTransport2[[#This Row],[Date Achevement  Mécanique]])</f>
        <v>8</v>
      </c>
      <c r="U367" s="50">
        <f>YEAR(RecetteTransport2[[#This Row],[Date Achevement  Mécanique]])</f>
        <v>2021</v>
      </c>
      <c r="V367" s="2">
        <v>44249</v>
      </c>
      <c r="W367" s="50">
        <f>_xlfn.ISOWEEKNUM(RecetteTransport2[[#This Row],[Date de mesure]])</f>
        <v>8</v>
      </c>
      <c r="X367" s="11">
        <f>YEAR(RecetteTransport2[[#This Row],[Date de mesure]])</f>
        <v>2021</v>
      </c>
      <c r="Y367" s="2">
        <v>44257</v>
      </c>
      <c r="Z367" s="50">
        <f>_xlfn.ISOWEEKNUM(RecetteTransport2[[#This Row],[Date envoie dossier mesure]])</f>
        <v>9</v>
      </c>
      <c r="AA367" s="50">
        <f>YEAR(RecetteTransport2[[#This Row],[Date envoie dossier mesure]])</f>
        <v>2021</v>
      </c>
      <c r="AB367" s="11">
        <v>0</v>
      </c>
      <c r="AC367" s="11">
        <v>0</v>
      </c>
      <c r="AD367" s="50">
        <v>6</v>
      </c>
      <c r="AE367" s="6" t="e">
        <f>RecetteTransport2[[#All],[Nb de reprises Optiques]]/#REF!</f>
        <v>#REF!</v>
      </c>
      <c r="AF367" s="6"/>
    </row>
    <row r="368" spans="1:32" hidden="1" x14ac:dyDescent="0.3">
      <c r="A368" t="s">
        <v>12</v>
      </c>
      <c r="B368" t="s">
        <v>13</v>
      </c>
      <c r="C368" t="s">
        <v>41</v>
      </c>
      <c r="D368" t="s">
        <v>399</v>
      </c>
      <c r="F368" t="s">
        <v>397</v>
      </c>
      <c r="G368" s="11" t="s">
        <v>29</v>
      </c>
      <c r="H368" s="11" t="s">
        <v>29</v>
      </c>
      <c r="I368" s="11" t="s">
        <v>29</v>
      </c>
      <c r="J368" s="11">
        <f>RecetteTransport2[[#All],[Fibres TC NOK]]</f>
        <v>0</v>
      </c>
      <c r="K368" s="50">
        <f>RecetteTransport2[[#All],[Valeur Critique]]</f>
        <v>0</v>
      </c>
      <c r="L368" s="50">
        <v>23</v>
      </c>
      <c r="N368" t="s">
        <v>193</v>
      </c>
      <c r="P368" s="11">
        <f xml:space="preserve"> _xlfn.ISOWEEKNUM(RecetteTransport2[[#This Row],[Date validation Optique]])</f>
        <v>52</v>
      </c>
      <c r="Q368" s="11">
        <f>YEAR(RecetteTransport2[[#This Row],[Date validation Optique]])</f>
        <v>1900</v>
      </c>
      <c r="R368" t="s">
        <v>193</v>
      </c>
      <c r="S368" s="2">
        <v>44253</v>
      </c>
      <c r="T368" s="50">
        <f>_xlfn.ISOWEEKNUM(RecetteTransport2[[#This Row],[Date Achevement  Mécanique]])</f>
        <v>8</v>
      </c>
      <c r="U368" s="50">
        <f>YEAR(RecetteTransport2[[#This Row],[Date Achevement  Mécanique]])</f>
        <v>2021</v>
      </c>
      <c r="V368" s="2">
        <v>44249</v>
      </c>
      <c r="W368" s="50">
        <f>_xlfn.ISOWEEKNUM(RecetteTransport2[[#This Row],[Date de mesure]])</f>
        <v>8</v>
      </c>
      <c r="X368" s="11">
        <f>YEAR(RecetteTransport2[[#This Row],[Date de mesure]])</f>
        <v>2021</v>
      </c>
      <c r="Y368" s="2">
        <v>44257</v>
      </c>
      <c r="Z368" s="50">
        <f>_xlfn.ISOWEEKNUM(RecetteTransport2[[#This Row],[Date envoie dossier mesure]])</f>
        <v>9</v>
      </c>
      <c r="AA368" s="50">
        <f>YEAR(RecetteTransport2[[#This Row],[Date envoie dossier mesure]])</f>
        <v>2021</v>
      </c>
      <c r="AB368" s="11">
        <v>0</v>
      </c>
      <c r="AC368" s="11">
        <v>0</v>
      </c>
      <c r="AD368" s="50">
        <v>23</v>
      </c>
      <c r="AE368" s="6" t="e">
        <f>RecetteTransport2[[#All],[Nb de reprises Optiques]]/#REF!</f>
        <v>#REF!</v>
      </c>
      <c r="AF368" s="6"/>
    </row>
    <row r="369" spans="1:32" hidden="1" x14ac:dyDescent="0.3">
      <c r="A369" t="s">
        <v>12</v>
      </c>
      <c r="B369" t="s">
        <v>13</v>
      </c>
      <c r="C369" t="s">
        <v>41</v>
      </c>
      <c r="D369" t="s">
        <v>400</v>
      </c>
      <c r="F369" t="s">
        <v>397</v>
      </c>
      <c r="G369" s="11" t="s">
        <v>29</v>
      </c>
      <c r="H369" s="11" t="s">
        <v>29</v>
      </c>
      <c r="I369" s="11" t="s">
        <v>29</v>
      </c>
      <c r="J369" s="11">
        <f>RecetteTransport2[[#All],[Fibres TC NOK]]</f>
        <v>1</v>
      </c>
      <c r="K369" s="50">
        <f>RecetteTransport2[[#All],[Valeur Critique]]</f>
        <v>1</v>
      </c>
      <c r="L369" s="50">
        <f>AD:AD</f>
        <v>9</v>
      </c>
      <c r="N369" t="s">
        <v>193</v>
      </c>
      <c r="P369" s="11">
        <f xml:space="preserve"> _xlfn.ISOWEEKNUM(RecetteTransport2[[#This Row],[Date validation Optique]])</f>
        <v>52</v>
      </c>
      <c r="Q369" s="11">
        <f>YEAR(RecetteTransport2[[#This Row],[Date validation Optique]])</f>
        <v>1900</v>
      </c>
      <c r="R369" t="s">
        <v>193</v>
      </c>
      <c r="S369" s="2">
        <v>44253</v>
      </c>
      <c r="T369" s="50">
        <f>_xlfn.ISOWEEKNUM(RecetteTransport2[[#This Row],[Date Achevement  Mécanique]])</f>
        <v>8</v>
      </c>
      <c r="U369" s="50">
        <f>YEAR(RecetteTransport2[[#This Row],[Date Achevement  Mécanique]])</f>
        <v>2021</v>
      </c>
      <c r="V369" s="2">
        <v>44249</v>
      </c>
      <c r="W369" s="50">
        <f>_xlfn.ISOWEEKNUM(RecetteTransport2[[#This Row],[Date de mesure]])</f>
        <v>8</v>
      </c>
      <c r="X369" s="11">
        <f>YEAR(RecetteTransport2[[#This Row],[Date de mesure]])</f>
        <v>2021</v>
      </c>
      <c r="Y369" s="2">
        <v>44257</v>
      </c>
      <c r="Z369" s="50">
        <f>_xlfn.ISOWEEKNUM(RecetteTransport2[[#This Row],[Date envoie dossier mesure]])</f>
        <v>9</v>
      </c>
      <c r="AA369" s="50">
        <f>YEAR(RecetteTransport2[[#This Row],[Date envoie dossier mesure]])</f>
        <v>2021</v>
      </c>
      <c r="AB369" s="11">
        <v>1</v>
      </c>
      <c r="AC369" s="11">
        <v>1</v>
      </c>
      <c r="AD369" s="50">
        <v>9</v>
      </c>
      <c r="AE369" s="6" t="e">
        <f>RecetteTransport2[[#All],[Nb de reprises Optiques]]/#REF!</f>
        <v>#REF!</v>
      </c>
      <c r="AF369" s="6"/>
    </row>
    <row r="370" spans="1:32" hidden="1" x14ac:dyDescent="0.3">
      <c r="A370" t="s">
        <v>12</v>
      </c>
      <c r="B370" t="s">
        <v>13</v>
      </c>
      <c r="C370" t="s">
        <v>46</v>
      </c>
      <c r="D370" t="s">
        <v>103</v>
      </c>
      <c r="F370" t="s">
        <v>49</v>
      </c>
      <c r="G370" s="11"/>
      <c r="H370" s="11" t="s">
        <v>29</v>
      </c>
      <c r="I370" s="11" t="s">
        <v>29</v>
      </c>
      <c r="J370" s="11">
        <f>RecetteTransport2[[#All],[Fibres TC NOK]]</f>
        <v>0</v>
      </c>
      <c r="K370" s="50">
        <f>RecetteTransport2[[#All],[Valeur Critique]]</f>
        <v>0</v>
      </c>
      <c r="L370" s="50">
        <f>AD:AD</f>
        <v>101</v>
      </c>
      <c r="N370" t="s">
        <v>65</v>
      </c>
      <c r="P370">
        <f xml:space="preserve"> _xlfn.ISOWEEKNUM(RecetteTransport2[[#This Row],[Date validation Optique]])</f>
        <v>52</v>
      </c>
      <c r="Q370">
        <f>YEAR(RecetteTransport2[[#This Row],[Date validation Optique]])</f>
        <v>1900</v>
      </c>
      <c r="T370" s="50">
        <f>_xlfn.ISOWEEKNUM(RecetteTransport2[[#This Row],[Date Achevement  Mécanique]])</f>
        <v>52</v>
      </c>
      <c r="U370" s="50">
        <f>YEAR(RecetteTransport2[[#This Row],[Date Achevement  Mécanique]])</f>
        <v>1900</v>
      </c>
      <c r="V370" s="2"/>
      <c r="W370" s="50">
        <f>_xlfn.ISOWEEKNUM(RecetteTransport2[[#This Row],[Date de mesure]])</f>
        <v>52</v>
      </c>
      <c r="X370" s="11">
        <f>YEAR(RecetteTransport2[[#This Row],[Date de mesure]])</f>
        <v>1900</v>
      </c>
      <c r="Y370" s="2">
        <v>44176</v>
      </c>
      <c r="Z370" s="50">
        <f>_xlfn.ISOWEEKNUM(RecetteTransport2[[#This Row],[Date envoie dossier mesure]])</f>
        <v>50</v>
      </c>
      <c r="AA370" s="50">
        <f>YEAR(RecetteTransport2[[#This Row],[Date envoie dossier mesure]])</f>
        <v>2020</v>
      </c>
      <c r="AB370" s="11">
        <v>0</v>
      </c>
      <c r="AC370" s="11">
        <v>0</v>
      </c>
      <c r="AD370" s="50">
        <v>101</v>
      </c>
      <c r="AE370" s="6" t="e">
        <f>RecetteTransport2[[#All],[Nb de reprises Optiques]]/#REF!</f>
        <v>#REF!</v>
      </c>
      <c r="AF370" s="6"/>
    </row>
    <row r="371" spans="1:32" hidden="1" x14ac:dyDescent="0.3">
      <c r="A371" t="s">
        <v>12</v>
      </c>
      <c r="B371" t="s">
        <v>13</v>
      </c>
      <c r="C371" t="s">
        <v>46</v>
      </c>
      <c r="D371" t="s">
        <v>203</v>
      </c>
      <c r="F371" t="s">
        <v>49</v>
      </c>
      <c r="G371" s="11"/>
      <c r="H371" s="11" t="s">
        <v>29</v>
      </c>
      <c r="I371" s="11" t="s">
        <v>29</v>
      </c>
      <c r="J371" s="11">
        <f>RecetteTransport2[[#All],[Fibres TC NOK]]</f>
        <v>0</v>
      </c>
      <c r="K371" s="50">
        <f>RecetteTransport2[[#All],[Valeur Critique]]</f>
        <v>0</v>
      </c>
      <c r="L371" s="50">
        <f>AD:AD</f>
        <v>13</v>
      </c>
      <c r="N371" t="s">
        <v>65</v>
      </c>
      <c r="P371">
        <f xml:space="preserve"> _xlfn.ISOWEEKNUM(RecetteTransport2[[#This Row],[Date validation Optique]])</f>
        <v>52</v>
      </c>
      <c r="Q371">
        <f>YEAR(RecetteTransport2[[#This Row],[Date validation Optique]])</f>
        <v>1900</v>
      </c>
      <c r="T371" s="50">
        <f>_xlfn.ISOWEEKNUM(RecetteTransport2[[#This Row],[Date Achevement  Mécanique]])</f>
        <v>52</v>
      </c>
      <c r="U371" s="50">
        <f>YEAR(RecetteTransport2[[#This Row],[Date Achevement  Mécanique]])</f>
        <v>1900</v>
      </c>
      <c r="V371" s="2">
        <v>44214</v>
      </c>
      <c r="W371" s="50">
        <f>_xlfn.ISOWEEKNUM(RecetteTransport2[[#This Row],[Date de mesure]])</f>
        <v>3</v>
      </c>
      <c r="X371" s="11">
        <f>YEAR(RecetteTransport2[[#This Row],[Date de mesure]])</f>
        <v>2021</v>
      </c>
      <c r="Y371" s="2">
        <v>44223</v>
      </c>
      <c r="Z371" s="50">
        <f>_xlfn.ISOWEEKNUM(RecetteTransport2[[#This Row],[Date envoie dossier mesure]])</f>
        <v>4</v>
      </c>
      <c r="AA371" s="50">
        <f>YEAR(RecetteTransport2[[#This Row],[Date envoie dossier mesure]])</f>
        <v>2021</v>
      </c>
      <c r="AB371" s="11">
        <v>0</v>
      </c>
      <c r="AC371" s="11">
        <v>0</v>
      </c>
      <c r="AD371" s="50">
        <v>13</v>
      </c>
      <c r="AE371" s="6" t="e">
        <f>RecetteTransport2[[#All],[Nb de reprises Optiques]]/#REF!</f>
        <v>#REF!</v>
      </c>
      <c r="AF371" s="6"/>
    </row>
    <row r="372" spans="1:32" hidden="1" x14ac:dyDescent="0.3">
      <c r="A372" t="s">
        <v>12</v>
      </c>
      <c r="B372" t="s">
        <v>13</v>
      </c>
      <c r="C372" t="s">
        <v>46</v>
      </c>
      <c r="D372" t="s">
        <v>202</v>
      </c>
      <c r="F372" t="s">
        <v>49</v>
      </c>
      <c r="G372" s="11"/>
      <c r="H372" s="11" t="s">
        <v>29</v>
      </c>
      <c r="I372" s="11" t="s">
        <v>29</v>
      </c>
      <c r="J372" s="11">
        <f>RecetteTransport2[[#All],[Fibres TC NOK]]</f>
        <v>0</v>
      </c>
      <c r="K372" s="50">
        <f>RecetteTransport2[[#All],[Valeur Critique]]</f>
        <v>0</v>
      </c>
      <c r="L372" s="50">
        <f>AD:AD</f>
        <v>2</v>
      </c>
      <c r="N372" t="s">
        <v>65</v>
      </c>
      <c r="P372">
        <f xml:space="preserve"> _xlfn.ISOWEEKNUM(RecetteTransport2[[#This Row],[Date validation Optique]])</f>
        <v>52</v>
      </c>
      <c r="Q372">
        <f>YEAR(RecetteTransport2[[#This Row],[Date validation Optique]])</f>
        <v>1900</v>
      </c>
      <c r="T372" s="50">
        <f>_xlfn.ISOWEEKNUM(RecetteTransport2[[#This Row],[Date Achevement  Mécanique]])</f>
        <v>52</v>
      </c>
      <c r="U372" s="50">
        <f>YEAR(RecetteTransport2[[#This Row],[Date Achevement  Mécanique]])</f>
        <v>1900</v>
      </c>
      <c r="V372" s="2"/>
      <c r="W372" s="50">
        <f>_xlfn.ISOWEEKNUM(RecetteTransport2[[#This Row],[Date de mesure]])</f>
        <v>52</v>
      </c>
      <c r="X372" s="11">
        <f>YEAR(RecetteTransport2[[#This Row],[Date de mesure]])</f>
        <v>1900</v>
      </c>
      <c r="Y372" s="2">
        <v>44179</v>
      </c>
      <c r="Z372" s="50">
        <f>_xlfn.ISOWEEKNUM(RecetteTransport2[[#This Row],[Date envoie dossier mesure]])</f>
        <v>51</v>
      </c>
      <c r="AA372" s="50">
        <f>YEAR(RecetteTransport2[[#This Row],[Date envoie dossier mesure]])</f>
        <v>2020</v>
      </c>
      <c r="AB372" s="11">
        <v>0</v>
      </c>
      <c r="AC372" s="11">
        <v>0</v>
      </c>
      <c r="AD372" s="50">
        <v>2</v>
      </c>
      <c r="AE372" s="6" t="e">
        <f>RecetteTransport2[[#All],[Nb de reprises Optiques]]/#REF!</f>
        <v>#REF!</v>
      </c>
      <c r="AF372" s="6"/>
    </row>
    <row r="373" spans="1:32" x14ac:dyDescent="0.3">
      <c r="A373" t="s">
        <v>12</v>
      </c>
      <c r="B373" t="s">
        <v>13</v>
      </c>
      <c r="D373" t="s">
        <v>262</v>
      </c>
      <c r="G373" s="11"/>
      <c r="H373" s="11"/>
      <c r="I373" s="11"/>
      <c r="J373" s="11">
        <f>RecetteTransport2[[#All],[Fibres TC NOK]]</f>
        <v>0</v>
      </c>
      <c r="K373" s="50">
        <f>RecetteTransport2[[#All],[Valeur Critique]]</f>
        <v>0</v>
      </c>
      <c r="L373" s="50">
        <f>AD:AD</f>
        <v>0</v>
      </c>
      <c r="P373" s="11">
        <f xml:space="preserve"> _xlfn.ISOWEEKNUM(RecetteTransport2[[#This Row],[Date validation Optique]])</f>
        <v>52</v>
      </c>
      <c r="Q373" s="11">
        <f>YEAR(RecetteTransport2[[#This Row],[Date validation Optique]])</f>
        <v>1900</v>
      </c>
      <c r="S373" s="47" t="e">
        <f>#REF!+10</f>
        <v>#REF!</v>
      </c>
      <c r="T373" s="50" t="e">
        <f>_xlfn.ISOWEEKNUM(RecetteTransport2[[#This Row],[Date Achevement  Mécanique]])</f>
        <v>#REF!</v>
      </c>
      <c r="U373" s="50" t="e">
        <f>YEAR(RecetteTransport2[[#This Row],[Date Achevement  Mécanique]])</f>
        <v>#REF!</v>
      </c>
      <c r="V373" s="47"/>
      <c r="W373" s="50">
        <f>_xlfn.ISOWEEKNUM(RecetteTransport2[[#This Row],[Date de mesure]])</f>
        <v>52</v>
      </c>
      <c r="X373" s="11">
        <f>YEAR(RecetteTransport2[[#This Row],[Date de mesure]])</f>
        <v>1900</v>
      </c>
      <c r="Y373" s="47"/>
      <c r="Z373" s="50">
        <f>_xlfn.ISOWEEKNUM(RecetteTransport2[[#This Row],[Date envoie dossier mesure]])</f>
        <v>52</v>
      </c>
      <c r="AA373" s="50">
        <f>YEAR(RecetteTransport2[[#This Row],[Date envoie dossier mesure]])</f>
        <v>1900</v>
      </c>
      <c r="AB373" s="11"/>
      <c r="AC373" s="11"/>
      <c r="AE373" s="6" t="e">
        <f>RecetteTransport2[[#All],[Nb de reprises Optiques]]/#REF!</f>
        <v>#REF!</v>
      </c>
      <c r="AF373" s="6"/>
    </row>
    <row r="374" spans="1:32" hidden="1" x14ac:dyDescent="0.3">
      <c r="A374" t="s">
        <v>12</v>
      </c>
      <c r="B374" t="s">
        <v>13</v>
      </c>
      <c r="C374" t="s">
        <v>46</v>
      </c>
      <c r="D374" t="s">
        <v>205</v>
      </c>
      <c r="F374" t="s">
        <v>49</v>
      </c>
      <c r="G374" s="11"/>
      <c r="H374" s="11" t="s">
        <v>29</v>
      </c>
      <c r="I374" s="11" t="s">
        <v>29</v>
      </c>
      <c r="J374" s="11">
        <f>RecetteTransport2[[#All],[Fibres TC NOK]]</f>
        <v>0</v>
      </c>
      <c r="K374" s="50">
        <f>RecetteTransport2[[#All],[Valeur Critique]]</f>
        <v>0</v>
      </c>
      <c r="L374" s="50">
        <f>AD:AD</f>
        <v>18</v>
      </c>
      <c r="N374" t="s">
        <v>65</v>
      </c>
      <c r="P374">
        <f xml:space="preserve"> _xlfn.ISOWEEKNUM(RecetteTransport2[[#This Row],[Date validation Optique]])</f>
        <v>52</v>
      </c>
      <c r="Q374">
        <f>YEAR(RecetteTransport2[[#This Row],[Date validation Optique]])</f>
        <v>1900</v>
      </c>
      <c r="T374" s="50">
        <f>_xlfn.ISOWEEKNUM(RecetteTransport2[[#This Row],[Date Achevement  Mécanique]])</f>
        <v>52</v>
      </c>
      <c r="U374" s="50">
        <f>YEAR(RecetteTransport2[[#This Row],[Date Achevement  Mécanique]])</f>
        <v>1900</v>
      </c>
      <c r="V374" s="2"/>
      <c r="W374" s="50">
        <f>_xlfn.ISOWEEKNUM(RecetteTransport2[[#This Row],[Date de mesure]])</f>
        <v>52</v>
      </c>
      <c r="X374" s="11">
        <f>YEAR(RecetteTransport2[[#This Row],[Date de mesure]])</f>
        <v>1900</v>
      </c>
      <c r="Y374" s="2">
        <v>44176</v>
      </c>
      <c r="Z374" s="50">
        <f>_xlfn.ISOWEEKNUM(RecetteTransport2[[#This Row],[Date envoie dossier mesure]])</f>
        <v>50</v>
      </c>
      <c r="AA374" s="50">
        <f>YEAR(RecetteTransport2[[#This Row],[Date envoie dossier mesure]])</f>
        <v>2020</v>
      </c>
      <c r="AB374" s="11">
        <v>0</v>
      </c>
      <c r="AC374" s="11">
        <v>0</v>
      </c>
      <c r="AD374" s="50">
        <v>18</v>
      </c>
      <c r="AE374" s="6" t="e">
        <f>RecetteTransport2[[#All],[Nb de reprises Optiques]]/#REF!</f>
        <v>#REF!</v>
      </c>
      <c r="AF374" s="6"/>
    </row>
    <row r="375" spans="1:32" hidden="1" x14ac:dyDescent="0.3">
      <c r="A375" t="s">
        <v>12</v>
      </c>
      <c r="B375" t="s">
        <v>13</v>
      </c>
      <c r="C375" t="s">
        <v>46</v>
      </c>
      <c r="D375" t="s">
        <v>104</v>
      </c>
      <c r="F375" t="s">
        <v>49</v>
      </c>
      <c r="G375" s="11"/>
      <c r="H375" s="11" t="s">
        <v>29</v>
      </c>
      <c r="I375" s="11" t="s">
        <v>29</v>
      </c>
      <c r="J375" s="11">
        <f>RecetteTransport2[[#All],[Fibres TC NOK]]</f>
        <v>0</v>
      </c>
      <c r="K375" s="50">
        <f>RecetteTransport2[[#All],[Valeur Critique]]</f>
        <v>0</v>
      </c>
      <c r="L375" s="50">
        <f>AD:AD</f>
        <v>5</v>
      </c>
      <c r="N375" t="s">
        <v>65</v>
      </c>
      <c r="P375">
        <f xml:space="preserve"> _xlfn.ISOWEEKNUM(RecetteTransport2[[#This Row],[Date validation Optique]])</f>
        <v>52</v>
      </c>
      <c r="Q375">
        <f>YEAR(RecetteTransport2[[#This Row],[Date validation Optique]])</f>
        <v>1900</v>
      </c>
      <c r="T375" s="50">
        <f>_xlfn.ISOWEEKNUM(RecetteTransport2[[#This Row],[Date Achevement  Mécanique]])</f>
        <v>52</v>
      </c>
      <c r="U375" s="50">
        <f>YEAR(RecetteTransport2[[#This Row],[Date Achevement  Mécanique]])</f>
        <v>1900</v>
      </c>
      <c r="V375" s="2"/>
      <c r="W375" s="50">
        <f>_xlfn.ISOWEEKNUM(RecetteTransport2[[#This Row],[Date de mesure]])</f>
        <v>52</v>
      </c>
      <c r="X375" s="11">
        <f>YEAR(RecetteTransport2[[#This Row],[Date de mesure]])</f>
        <v>1900</v>
      </c>
      <c r="Y375" s="2">
        <v>44176</v>
      </c>
      <c r="Z375" s="50">
        <f>_xlfn.ISOWEEKNUM(RecetteTransport2[[#This Row],[Date envoie dossier mesure]])</f>
        <v>50</v>
      </c>
      <c r="AA375" s="50">
        <f>YEAR(RecetteTransport2[[#This Row],[Date envoie dossier mesure]])</f>
        <v>2020</v>
      </c>
      <c r="AB375" s="11">
        <v>0</v>
      </c>
      <c r="AC375" s="11">
        <v>0</v>
      </c>
      <c r="AD375" s="50">
        <v>5</v>
      </c>
      <c r="AE375" s="6" t="e">
        <f>RecetteTransport2[[#All],[Nb de reprises Optiques]]/#REF!</f>
        <v>#REF!</v>
      </c>
      <c r="AF375" s="6"/>
    </row>
    <row r="376" spans="1:32" hidden="1" x14ac:dyDescent="0.3">
      <c r="A376" t="s">
        <v>12</v>
      </c>
      <c r="B376" t="s">
        <v>20</v>
      </c>
      <c r="C376" t="s">
        <v>254</v>
      </c>
      <c r="D376" t="s">
        <v>275</v>
      </c>
      <c r="G376" s="11"/>
      <c r="H376" s="11" t="s">
        <v>29</v>
      </c>
      <c r="I376" s="11" t="s">
        <v>29</v>
      </c>
      <c r="J376" s="11">
        <f>RecetteTransport2[[#All],[Fibres TC NOK]]</f>
        <v>0</v>
      </c>
      <c r="K376" s="50">
        <f>RecetteTransport2[[#All],[Valeur Critique]]</f>
        <v>0</v>
      </c>
      <c r="L376" s="50">
        <f>AD:AD</f>
        <v>81</v>
      </c>
      <c r="N376" t="s">
        <v>65</v>
      </c>
      <c r="P376">
        <f xml:space="preserve"> _xlfn.ISOWEEKNUM(RecetteTransport2[[#This Row],[Date validation Optique]])</f>
        <v>52</v>
      </c>
      <c r="Q376">
        <f>YEAR(RecetteTransport2[[#This Row],[Date validation Optique]])</f>
        <v>1900</v>
      </c>
      <c r="T376" s="50">
        <f>_xlfn.ISOWEEKNUM(RecetteTransport2[[#This Row],[Date Achevement  Mécanique]])</f>
        <v>52</v>
      </c>
      <c r="U376" s="50">
        <f>YEAR(RecetteTransport2[[#This Row],[Date Achevement  Mécanique]])</f>
        <v>1900</v>
      </c>
      <c r="V376" s="2"/>
      <c r="W376" s="50">
        <f>_xlfn.ISOWEEKNUM(RecetteTransport2[[#This Row],[Date de mesure]])</f>
        <v>52</v>
      </c>
      <c r="X376" s="11">
        <f>YEAR(RecetteTransport2[[#This Row],[Date de mesure]])</f>
        <v>1900</v>
      </c>
      <c r="Y376" s="2">
        <v>44211</v>
      </c>
      <c r="Z376" s="50">
        <f>_xlfn.ISOWEEKNUM(RecetteTransport2[[#This Row],[Date envoie dossier mesure]])</f>
        <v>2</v>
      </c>
      <c r="AA376" s="50">
        <f>YEAR(RecetteTransport2[[#This Row],[Date envoie dossier mesure]])</f>
        <v>2021</v>
      </c>
      <c r="AB376" s="11">
        <v>0</v>
      </c>
      <c r="AC376" s="11">
        <v>0</v>
      </c>
      <c r="AD376" s="50">
        <v>81</v>
      </c>
      <c r="AE376" s="6" t="e">
        <f>RecetteTransport2[[#All],[Nb de reprises Optiques]]/#REF!</f>
        <v>#REF!</v>
      </c>
      <c r="AF376" s="6"/>
    </row>
    <row r="377" spans="1:32" hidden="1" x14ac:dyDescent="0.3">
      <c r="A377" t="s">
        <v>12</v>
      </c>
      <c r="B377" t="s">
        <v>20</v>
      </c>
      <c r="C377" t="s">
        <v>254</v>
      </c>
      <c r="D377" t="s">
        <v>276</v>
      </c>
      <c r="G377" s="11"/>
      <c r="H377" s="11" t="s">
        <v>29</v>
      </c>
      <c r="I377" s="11" t="s">
        <v>29</v>
      </c>
      <c r="J377" s="11">
        <f>RecetteTransport2[[#All],[Fibres TC NOK]]</f>
        <v>0</v>
      </c>
      <c r="K377" s="50">
        <f>RecetteTransport2[[#All],[Valeur Critique]]</f>
        <v>0</v>
      </c>
      <c r="L377" s="50">
        <f>AD:AD</f>
        <v>93</v>
      </c>
      <c r="N377" t="s">
        <v>65</v>
      </c>
      <c r="P377">
        <f xml:space="preserve"> _xlfn.ISOWEEKNUM(RecetteTransport2[[#This Row],[Date validation Optique]])</f>
        <v>52</v>
      </c>
      <c r="Q377">
        <f>YEAR(RecetteTransport2[[#This Row],[Date validation Optique]])</f>
        <v>1900</v>
      </c>
      <c r="T377" s="50">
        <f>_xlfn.ISOWEEKNUM(RecetteTransport2[[#This Row],[Date Achevement  Mécanique]])</f>
        <v>52</v>
      </c>
      <c r="U377" s="50">
        <f>YEAR(RecetteTransport2[[#This Row],[Date Achevement  Mécanique]])</f>
        <v>1900</v>
      </c>
      <c r="V377" s="2"/>
      <c r="W377" s="50">
        <f>_xlfn.ISOWEEKNUM(RecetteTransport2[[#This Row],[Date de mesure]])</f>
        <v>52</v>
      </c>
      <c r="X377" s="11">
        <f>YEAR(RecetteTransport2[[#This Row],[Date de mesure]])</f>
        <v>1900</v>
      </c>
      <c r="Y377" s="2">
        <v>44211</v>
      </c>
      <c r="Z377" s="50">
        <f>_xlfn.ISOWEEKNUM(RecetteTransport2[[#This Row],[Date envoie dossier mesure]])</f>
        <v>2</v>
      </c>
      <c r="AA377" s="50">
        <f>YEAR(RecetteTransport2[[#This Row],[Date envoie dossier mesure]])</f>
        <v>2021</v>
      </c>
      <c r="AB377" s="11">
        <v>0</v>
      </c>
      <c r="AC377" s="11">
        <v>0</v>
      </c>
      <c r="AD377" s="50">
        <v>93</v>
      </c>
      <c r="AE377" s="6" t="e">
        <f>RecetteTransport2[[#All],[Nb de reprises Optiques]]/#REF!</f>
        <v>#REF!</v>
      </c>
      <c r="AF377" s="6"/>
    </row>
    <row r="378" spans="1:32" hidden="1" x14ac:dyDescent="0.3">
      <c r="A378" t="s">
        <v>12</v>
      </c>
      <c r="B378" t="s">
        <v>20</v>
      </c>
      <c r="C378" t="s">
        <v>323</v>
      </c>
      <c r="D378" t="s">
        <v>324</v>
      </c>
      <c r="G378" s="11"/>
      <c r="H378" s="11" t="s">
        <v>29</v>
      </c>
      <c r="I378" s="11" t="s">
        <v>29</v>
      </c>
      <c r="J378" s="11">
        <f>RecetteTransport2[[#All],[Fibres TC NOK]]</f>
        <v>0</v>
      </c>
      <c r="K378" s="50">
        <f>RecetteTransport2[[#All],[Valeur Critique]]</f>
        <v>0</v>
      </c>
      <c r="L378" s="50">
        <f>AD:AD</f>
        <v>51</v>
      </c>
      <c r="N378" t="s">
        <v>65</v>
      </c>
      <c r="P378">
        <f xml:space="preserve"> _xlfn.ISOWEEKNUM(RecetteTransport2[[#This Row],[Date validation Optique]])</f>
        <v>52</v>
      </c>
      <c r="Q378">
        <f>YEAR(RecetteTransport2[[#This Row],[Date validation Optique]])</f>
        <v>1900</v>
      </c>
      <c r="T378" s="50">
        <f>_xlfn.ISOWEEKNUM(RecetteTransport2[[#This Row],[Date Achevement  Mécanique]])</f>
        <v>52</v>
      </c>
      <c r="U378" s="50">
        <f>YEAR(RecetteTransport2[[#This Row],[Date Achevement  Mécanique]])</f>
        <v>1900</v>
      </c>
      <c r="V378" s="2"/>
      <c r="W378" s="50">
        <f>_xlfn.ISOWEEKNUM(RecetteTransport2[[#This Row],[Date de mesure]])</f>
        <v>52</v>
      </c>
      <c r="X378" s="11">
        <f>YEAR(RecetteTransport2[[#This Row],[Date de mesure]])</f>
        <v>1900</v>
      </c>
      <c r="Y378" s="2">
        <v>44221</v>
      </c>
      <c r="Z378" s="50">
        <f>_xlfn.ISOWEEKNUM(RecetteTransport2[[#This Row],[Date envoie dossier mesure]])</f>
        <v>4</v>
      </c>
      <c r="AA378" s="50">
        <f>YEAR(RecetteTransport2[[#This Row],[Date envoie dossier mesure]])</f>
        <v>2021</v>
      </c>
      <c r="AB378" s="11">
        <v>0</v>
      </c>
      <c r="AC378" s="11">
        <v>0</v>
      </c>
      <c r="AD378" s="50">
        <v>51</v>
      </c>
      <c r="AE378" s="6" t="e">
        <f>RecetteTransport2[[#All],[Nb de reprises Optiques]]/#REF!</f>
        <v>#REF!</v>
      </c>
      <c r="AF378" s="6"/>
    </row>
    <row r="379" spans="1:32" hidden="1" x14ac:dyDescent="0.3">
      <c r="A379" t="s">
        <v>12</v>
      </c>
      <c r="B379" t="s">
        <v>20</v>
      </c>
      <c r="C379" t="s">
        <v>323</v>
      </c>
      <c r="D379" t="s">
        <v>325</v>
      </c>
      <c r="G379" s="11"/>
      <c r="H379" s="11" t="s">
        <v>29</v>
      </c>
      <c r="I379" s="11" t="s">
        <v>29</v>
      </c>
      <c r="J379" s="11">
        <f>RecetteTransport2[[#All],[Fibres TC NOK]]</f>
        <v>0</v>
      </c>
      <c r="K379" s="50">
        <f>RecetteTransport2[[#All],[Valeur Critique]]</f>
        <v>0</v>
      </c>
      <c r="L379" s="50">
        <f>AD:AD</f>
        <v>0</v>
      </c>
      <c r="N379" t="s">
        <v>389</v>
      </c>
      <c r="O379" s="2">
        <v>44235</v>
      </c>
      <c r="P379">
        <f xml:space="preserve"> _xlfn.ISOWEEKNUM(RecetteTransport2[[#This Row],[Date validation Optique]])</f>
        <v>6</v>
      </c>
      <c r="Q379">
        <f>YEAR(RecetteTransport2[[#This Row],[Date validation Optique]])</f>
        <v>2021</v>
      </c>
      <c r="T379" s="50">
        <f>_xlfn.ISOWEEKNUM(RecetteTransport2[[#This Row],[Date Achevement  Mécanique]])</f>
        <v>52</v>
      </c>
      <c r="U379" s="50">
        <f>YEAR(RecetteTransport2[[#This Row],[Date Achevement  Mécanique]])</f>
        <v>1900</v>
      </c>
      <c r="V379" s="2"/>
      <c r="W379" s="50">
        <f>_xlfn.ISOWEEKNUM(RecetteTransport2[[#This Row],[Date de mesure]])</f>
        <v>52</v>
      </c>
      <c r="X379" s="11">
        <f>YEAR(RecetteTransport2[[#This Row],[Date de mesure]])</f>
        <v>1900</v>
      </c>
      <c r="Y379" s="2">
        <v>44221</v>
      </c>
      <c r="Z379" s="50">
        <f>_xlfn.ISOWEEKNUM(RecetteTransport2[[#This Row],[Date envoie dossier mesure]])</f>
        <v>4</v>
      </c>
      <c r="AA379" s="50">
        <f>YEAR(RecetteTransport2[[#This Row],[Date envoie dossier mesure]])</f>
        <v>2021</v>
      </c>
      <c r="AB379" s="11">
        <v>0</v>
      </c>
      <c r="AC379" s="11">
        <v>0</v>
      </c>
      <c r="AD379" s="50">
        <v>0</v>
      </c>
      <c r="AE379" s="6" t="e">
        <f>RecetteTransport2[[#All],[Nb de reprises Optiques]]/#REF!</f>
        <v>#REF!</v>
      </c>
      <c r="AF379" s="6"/>
    </row>
    <row r="380" spans="1:32" hidden="1" x14ac:dyDescent="0.3">
      <c r="A380" t="s">
        <v>12</v>
      </c>
      <c r="B380" t="s">
        <v>20</v>
      </c>
      <c r="C380" t="s">
        <v>323</v>
      </c>
      <c r="D380" t="s">
        <v>326</v>
      </c>
      <c r="G380" s="11"/>
      <c r="H380" s="11" t="s">
        <v>29</v>
      </c>
      <c r="I380" s="11" t="s">
        <v>29</v>
      </c>
      <c r="J380" s="11">
        <f>RecetteTransport2[[#All],[Fibres TC NOK]]</f>
        <v>0</v>
      </c>
      <c r="K380" s="50">
        <f>RecetteTransport2[[#All],[Valeur Critique]]</f>
        <v>0</v>
      </c>
      <c r="L380" s="50">
        <f>AD:AD</f>
        <v>20</v>
      </c>
      <c r="N380" t="s">
        <v>65</v>
      </c>
      <c r="P380">
        <f xml:space="preserve"> _xlfn.ISOWEEKNUM(RecetteTransport2[[#This Row],[Date validation Optique]])</f>
        <v>52</v>
      </c>
      <c r="Q380">
        <f>YEAR(RecetteTransport2[[#This Row],[Date validation Optique]])</f>
        <v>1900</v>
      </c>
      <c r="T380" s="50">
        <f>_xlfn.ISOWEEKNUM(RecetteTransport2[[#This Row],[Date Achevement  Mécanique]])</f>
        <v>52</v>
      </c>
      <c r="U380" s="50">
        <f>YEAR(RecetteTransport2[[#This Row],[Date Achevement  Mécanique]])</f>
        <v>1900</v>
      </c>
      <c r="V380" s="2"/>
      <c r="W380" s="50">
        <f>_xlfn.ISOWEEKNUM(RecetteTransport2[[#This Row],[Date de mesure]])</f>
        <v>52</v>
      </c>
      <c r="X380" s="11">
        <f>YEAR(RecetteTransport2[[#This Row],[Date de mesure]])</f>
        <v>1900</v>
      </c>
      <c r="Y380" s="2">
        <v>44221</v>
      </c>
      <c r="Z380" s="50">
        <f>_xlfn.ISOWEEKNUM(RecetteTransport2[[#This Row],[Date envoie dossier mesure]])</f>
        <v>4</v>
      </c>
      <c r="AA380" s="50">
        <f>YEAR(RecetteTransport2[[#This Row],[Date envoie dossier mesure]])</f>
        <v>2021</v>
      </c>
      <c r="AB380" s="11">
        <v>0</v>
      </c>
      <c r="AC380" s="11">
        <v>0</v>
      </c>
      <c r="AD380" s="50">
        <v>20</v>
      </c>
      <c r="AE380" s="6" t="e">
        <f>RecetteTransport2[[#All],[Nb de reprises Optiques]]/#REF!</f>
        <v>#REF!</v>
      </c>
      <c r="AF380" s="6"/>
    </row>
    <row r="381" spans="1:32" hidden="1" x14ac:dyDescent="0.3">
      <c r="A381" t="s">
        <v>12</v>
      </c>
      <c r="B381" t="s">
        <v>20</v>
      </c>
      <c r="C381" t="s">
        <v>44</v>
      </c>
      <c r="D381" t="s">
        <v>320</v>
      </c>
      <c r="G381" s="11"/>
      <c r="H381" s="11" t="s">
        <v>29</v>
      </c>
      <c r="I381" s="11" t="s">
        <v>29</v>
      </c>
      <c r="J381" s="11">
        <f>RecetteTransport2[[#All],[Fibres TC NOK]]</f>
        <v>0</v>
      </c>
      <c r="K381" s="50">
        <f>RecetteTransport2[[#All],[Valeur Critique]]</f>
        <v>0</v>
      </c>
      <c r="L381" s="50">
        <f>AD:AD</f>
        <v>54</v>
      </c>
      <c r="N381" t="s">
        <v>65</v>
      </c>
      <c r="P381">
        <f xml:space="preserve"> _xlfn.ISOWEEKNUM(RecetteTransport2[[#This Row],[Date validation Optique]])</f>
        <v>52</v>
      </c>
      <c r="Q381">
        <f>YEAR(RecetteTransport2[[#This Row],[Date validation Optique]])</f>
        <v>1900</v>
      </c>
      <c r="T381" s="50">
        <f>_xlfn.ISOWEEKNUM(RecetteTransport2[[#This Row],[Date Achevement  Mécanique]])</f>
        <v>52</v>
      </c>
      <c r="U381" s="50">
        <f>YEAR(RecetteTransport2[[#This Row],[Date Achevement  Mécanique]])</f>
        <v>1900</v>
      </c>
      <c r="V381" s="2">
        <v>44231</v>
      </c>
      <c r="W381" s="50">
        <f>_xlfn.ISOWEEKNUM(RecetteTransport2[[#This Row],[Date de mesure]])</f>
        <v>5</v>
      </c>
      <c r="X381" s="11">
        <f>YEAR(RecetteTransport2[[#This Row],[Date de mesure]])</f>
        <v>2021</v>
      </c>
      <c r="Y381" s="2">
        <v>44235</v>
      </c>
      <c r="Z381" s="50">
        <f>_xlfn.ISOWEEKNUM(RecetteTransport2[[#This Row],[Date envoie dossier mesure]])</f>
        <v>6</v>
      </c>
      <c r="AA381" s="50">
        <f>YEAR(RecetteTransport2[[#This Row],[Date envoie dossier mesure]])</f>
        <v>2021</v>
      </c>
      <c r="AB381" s="11">
        <v>0</v>
      </c>
      <c r="AC381" s="11">
        <v>0</v>
      </c>
      <c r="AD381" s="50">
        <v>54</v>
      </c>
      <c r="AE381" s="6" t="e">
        <f>RecetteTransport2[[#All],[Nb de reprises Optiques]]/#REF!</f>
        <v>#REF!</v>
      </c>
      <c r="AF381" s="6"/>
    </row>
    <row r="382" spans="1:32" hidden="1" x14ac:dyDescent="0.3">
      <c r="A382" t="s">
        <v>12</v>
      </c>
      <c r="B382" t="s">
        <v>20</v>
      </c>
      <c r="C382" t="s">
        <v>44</v>
      </c>
      <c r="D382" t="s">
        <v>321</v>
      </c>
      <c r="G382" s="11"/>
      <c r="H382" s="11" t="s">
        <v>29</v>
      </c>
      <c r="I382" s="11" t="s">
        <v>29</v>
      </c>
      <c r="J382" s="11">
        <f>RecetteTransport2[[#All],[Fibres TC NOK]]</f>
        <v>0</v>
      </c>
      <c r="K382" s="50">
        <f>RecetteTransport2[[#All],[Valeur Critique]]</f>
        <v>0</v>
      </c>
      <c r="L382" s="50">
        <f>AD:AD</f>
        <v>17</v>
      </c>
      <c r="N382" t="s">
        <v>65</v>
      </c>
      <c r="P382">
        <f xml:space="preserve"> _xlfn.ISOWEEKNUM(RecetteTransport2[[#This Row],[Date validation Optique]])</f>
        <v>52</v>
      </c>
      <c r="Q382">
        <f>YEAR(RecetteTransport2[[#This Row],[Date validation Optique]])</f>
        <v>1900</v>
      </c>
      <c r="T382" s="50">
        <f>_xlfn.ISOWEEKNUM(RecetteTransport2[[#This Row],[Date Achevement  Mécanique]])</f>
        <v>52</v>
      </c>
      <c r="U382" s="50">
        <f>YEAR(RecetteTransport2[[#This Row],[Date Achevement  Mécanique]])</f>
        <v>1900</v>
      </c>
      <c r="V382" s="2">
        <v>44231</v>
      </c>
      <c r="W382" s="50">
        <f>_xlfn.ISOWEEKNUM(RecetteTransport2[[#This Row],[Date de mesure]])</f>
        <v>5</v>
      </c>
      <c r="X382" s="11">
        <f>YEAR(RecetteTransport2[[#This Row],[Date de mesure]])</f>
        <v>2021</v>
      </c>
      <c r="Y382" s="2">
        <v>44235</v>
      </c>
      <c r="Z382" s="50">
        <f>_xlfn.ISOWEEKNUM(RecetteTransport2[[#This Row],[Date envoie dossier mesure]])</f>
        <v>6</v>
      </c>
      <c r="AA382" s="50">
        <f>YEAR(RecetteTransport2[[#This Row],[Date envoie dossier mesure]])</f>
        <v>2021</v>
      </c>
      <c r="AB382" s="11">
        <v>0</v>
      </c>
      <c r="AC382" s="11">
        <v>0</v>
      </c>
      <c r="AD382" s="50">
        <v>17</v>
      </c>
      <c r="AE382" s="6" t="e">
        <f>RecetteTransport2[[#All],[Nb de reprises Optiques]]/#REF!</f>
        <v>#REF!</v>
      </c>
      <c r="AF382" s="6"/>
    </row>
    <row r="383" spans="1:32" x14ac:dyDescent="0.3">
      <c r="A383" t="s">
        <v>12</v>
      </c>
      <c r="D383" t="s">
        <v>590</v>
      </c>
      <c r="G383" s="11"/>
      <c r="H383" s="11"/>
      <c r="I383" s="11"/>
      <c r="J383" s="11">
        <f>RecetteTransport2[[#All],[Fibres TC NOK]]</f>
        <v>0</v>
      </c>
      <c r="K383" s="50">
        <f>RecetteTransport2[[#All],[Valeur Critique]]</f>
        <v>0</v>
      </c>
      <c r="L383" s="50">
        <f t="shared" ref="L383:L387" si="26">AD:AD</f>
        <v>0</v>
      </c>
      <c r="P383" s="11">
        <f xml:space="preserve"> _xlfn.ISOWEEKNUM(RecetteTransport2[[#This Row],[Date validation Optique]])</f>
        <v>52</v>
      </c>
      <c r="Q383" s="11">
        <f>YEAR(RecetteTransport2[[#This Row],[Date validation Optique]])</f>
        <v>1900</v>
      </c>
      <c r="S383" s="47" t="e">
        <f>#REF!+10</f>
        <v>#REF!</v>
      </c>
      <c r="T383" s="50" t="e">
        <f>_xlfn.ISOWEEKNUM(RecetteTransport2[[#This Row],[Date Achevement  Mécanique]])</f>
        <v>#REF!</v>
      </c>
      <c r="U383" s="50" t="e">
        <f>YEAR(RecetteTransport2[[#This Row],[Date Achevement  Mécanique]])</f>
        <v>#REF!</v>
      </c>
      <c r="V383" s="47"/>
      <c r="W383" s="50">
        <f>_xlfn.ISOWEEKNUM(RecetteTransport2[[#This Row],[Date de mesure]])</f>
        <v>52</v>
      </c>
      <c r="X383" s="11">
        <f>YEAR(RecetteTransport2[[#This Row],[Date de mesure]])</f>
        <v>1900</v>
      </c>
      <c r="Y383" s="47"/>
      <c r="Z383" s="50">
        <f>_xlfn.ISOWEEKNUM(RecetteTransport2[[#This Row],[Date envoie dossier mesure]])</f>
        <v>52</v>
      </c>
      <c r="AA383" s="50">
        <f>YEAR(RecetteTransport2[[#This Row],[Date envoie dossier mesure]])</f>
        <v>1900</v>
      </c>
      <c r="AB383" s="11"/>
      <c r="AC383" s="11"/>
      <c r="AE383" s="6" t="e">
        <f>RecetteTransport2[[#All],[Nb de reprises Optiques]]/#REF!</f>
        <v>#REF!</v>
      </c>
      <c r="AF383" s="6"/>
    </row>
    <row r="384" spans="1:32" x14ac:dyDescent="0.3">
      <c r="A384" t="s">
        <v>12</v>
      </c>
      <c r="D384" t="s">
        <v>591</v>
      </c>
      <c r="G384" s="11"/>
      <c r="H384" s="11"/>
      <c r="I384" s="11"/>
      <c r="J384" s="11">
        <f>RecetteTransport2[[#All],[Fibres TC NOK]]</f>
        <v>0</v>
      </c>
      <c r="K384" s="50">
        <f>RecetteTransport2[[#All],[Valeur Critique]]</f>
        <v>0</v>
      </c>
      <c r="L384" s="50">
        <f t="shared" si="26"/>
        <v>0</v>
      </c>
      <c r="P384" s="11">
        <f xml:space="preserve"> _xlfn.ISOWEEKNUM(RecetteTransport2[[#This Row],[Date validation Optique]])</f>
        <v>52</v>
      </c>
      <c r="Q384" s="11">
        <f>YEAR(RecetteTransport2[[#This Row],[Date validation Optique]])</f>
        <v>1900</v>
      </c>
      <c r="S384" s="47" t="e">
        <f>#REF!+10</f>
        <v>#REF!</v>
      </c>
      <c r="T384" s="50" t="e">
        <f>_xlfn.ISOWEEKNUM(RecetteTransport2[[#This Row],[Date Achevement  Mécanique]])</f>
        <v>#REF!</v>
      </c>
      <c r="U384" s="50" t="e">
        <f>YEAR(RecetteTransport2[[#This Row],[Date Achevement  Mécanique]])</f>
        <v>#REF!</v>
      </c>
      <c r="V384" s="47"/>
      <c r="W384" s="50">
        <f>_xlfn.ISOWEEKNUM(RecetteTransport2[[#This Row],[Date de mesure]])</f>
        <v>52</v>
      </c>
      <c r="X384" s="11">
        <f>YEAR(RecetteTransport2[[#This Row],[Date de mesure]])</f>
        <v>1900</v>
      </c>
      <c r="Y384" s="47"/>
      <c r="Z384" s="50">
        <f>_xlfn.ISOWEEKNUM(RecetteTransport2[[#This Row],[Date envoie dossier mesure]])</f>
        <v>52</v>
      </c>
      <c r="AA384" s="50">
        <f>YEAR(RecetteTransport2[[#This Row],[Date envoie dossier mesure]])</f>
        <v>1900</v>
      </c>
      <c r="AB384" s="11"/>
      <c r="AC384" s="11"/>
      <c r="AE384" s="6" t="e">
        <f>RecetteTransport2[[#All],[Nb de reprises Optiques]]/#REF!</f>
        <v>#REF!</v>
      </c>
      <c r="AF384" s="6"/>
    </row>
    <row r="385" spans="1:32" x14ac:dyDescent="0.3">
      <c r="A385" t="s">
        <v>12</v>
      </c>
      <c r="D385" t="s">
        <v>592</v>
      </c>
      <c r="G385" s="11"/>
      <c r="H385" s="11"/>
      <c r="I385" s="11"/>
      <c r="J385" s="11">
        <f>RecetteTransport2[[#All],[Fibres TC NOK]]</f>
        <v>0</v>
      </c>
      <c r="K385" s="50">
        <f>RecetteTransport2[[#All],[Valeur Critique]]</f>
        <v>0</v>
      </c>
      <c r="L385" s="50">
        <f t="shared" si="26"/>
        <v>0</v>
      </c>
      <c r="P385" s="11">
        <f xml:space="preserve"> _xlfn.ISOWEEKNUM(RecetteTransport2[[#This Row],[Date validation Optique]])</f>
        <v>52</v>
      </c>
      <c r="Q385" s="11">
        <f>YEAR(RecetteTransport2[[#This Row],[Date validation Optique]])</f>
        <v>1900</v>
      </c>
      <c r="S385" s="47" t="e">
        <f>#REF!+10</f>
        <v>#REF!</v>
      </c>
      <c r="T385" s="50" t="e">
        <f>_xlfn.ISOWEEKNUM(RecetteTransport2[[#This Row],[Date Achevement  Mécanique]])</f>
        <v>#REF!</v>
      </c>
      <c r="U385" s="50" t="e">
        <f>YEAR(RecetteTransport2[[#This Row],[Date Achevement  Mécanique]])</f>
        <v>#REF!</v>
      </c>
      <c r="V385" s="47"/>
      <c r="W385" s="50">
        <f>_xlfn.ISOWEEKNUM(RecetteTransport2[[#This Row],[Date de mesure]])</f>
        <v>52</v>
      </c>
      <c r="X385" s="11">
        <f>YEAR(RecetteTransport2[[#This Row],[Date de mesure]])</f>
        <v>1900</v>
      </c>
      <c r="Y385" s="47"/>
      <c r="Z385" s="50">
        <f>_xlfn.ISOWEEKNUM(RecetteTransport2[[#This Row],[Date envoie dossier mesure]])</f>
        <v>52</v>
      </c>
      <c r="AA385" s="50">
        <f>YEAR(RecetteTransport2[[#This Row],[Date envoie dossier mesure]])</f>
        <v>1900</v>
      </c>
      <c r="AB385" s="11"/>
      <c r="AC385" s="11"/>
      <c r="AE385" s="6" t="e">
        <f>RecetteTransport2[[#All],[Nb de reprises Optiques]]/#REF!</f>
        <v>#REF!</v>
      </c>
      <c r="AF385" s="6"/>
    </row>
    <row r="386" spans="1:32" x14ac:dyDescent="0.3">
      <c r="A386" t="s">
        <v>12</v>
      </c>
      <c r="D386" t="s">
        <v>593</v>
      </c>
      <c r="G386" s="11"/>
      <c r="H386" s="11"/>
      <c r="I386" s="11"/>
      <c r="J386" s="11">
        <f>RecetteTransport2[[#All],[Fibres TC NOK]]</f>
        <v>0</v>
      </c>
      <c r="K386" s="50">
        <f>RecetteTransport2[[#All],[Valeur Critique]]</f>
        <v>0</v>
      </c>
      <c r="L386" s="50">
        <f t="shared" si="26"/>
        <v>0</v>
      </c>
      <c r="P386" s="11">
        <f xml:space="preserve"> _xlfn.ISOWEEKNUM(RecetteTransport2[[#This Row],[Date validation Optique]])</f>
        <v>52</v>
      </c>
      <c r="Q386" s="11">
        <f>YEAR(RecetteTransport2[[#This Row],[Date validation Optique]])</f>
        <v>1900</v>
      </c>
      <c r="S386" s="47" t="e">
        <f>#REF!+10</f>
        <v>#REF!</v>
      </c>
      <c r="T386" s="50" t="e">
        <f>_xlfn.ISOWEEKNUM(RecetteTransport2[[#This Row],[Date Achevement  Mécanique]])</f>
        <v>#REF!</v>
      </c>
      <c r="U386" s="50" t="e">
        <f>YEAR(RecetteTransport2[[#This Row],[Date Achevement  Mécanique]])</f>
        <v>#REF!</v>
      </c>
      <c r="V386" s="47"/>
      <c r="W386" s="50">
        <f>_xlfn.ISOWEEKNUM(RecetteTransport2[[#This Row],[Date de mesure]])</f>
        <v>52</v>
      </c>
      <c r="X386" s="11">
        <f>YEAR(RecetteTransport2[[#This Row],[Date de mesure]])</f>
        <v>1900</v>
      </c>
      <c r="Y386" s="47"/>
      <c r="Z386" s="50">
        <f>_xlfn.ISOWEEKNUM(RecetteTransport2[[#This Row],[Date envoie dossier mesure]])</f>
        <v>52</v>
      </c>
      <c r="AA386" s="50">
        <f>YEAR(RecetteTransport2[[#This Row],[Date envoie dossier mesure]])</f>
        <v>1900</v>
      </c>
      <c r="AB386" s="11"/>
      <c r="AC386" s="11"/>
      <c r="AE386" s="6" t="e">
        <f>RecetteTransport2[[#All],[Nb de reprises Optiques]]/#REF!</f>
        <v>#REF!</v>
      </c>
      <c r="AF386" s="6"/>
    </row>
    <row r="387" spans="1:32" x14ac:dyDescent="0.3">
      <c r="A387" t="s">
        <v>12</v>
      </c>
      <c r="D387" t="s">
        <v>594</v>
      </c>
      <c r="G387" s="11"/>
      <c r="H387" s="11"/>
      <c r="I387" s="11"/>
      <c r="J387" s="11">
        <f>RecetteTransport2[[#All],[Fibres TC NOK]]</f>
        <v>0</v>
      </c>
      <c r="K387" s="50">
        <f>RecetteTransport2[[#All],[Valeur Critique]]</f>
        <v>0</v>
      </c>
      <c r="L387" s="50">
        <f t="shared" si="26"/>
        <v>0</v>
      </c>
      <c r="P387" s="11">
        <f xml:space="preserve"> _xlfn.ISOWEEKNUM(RecetteTransport2[[#This Row],[Date validation Optique]])</f>
        <v>52</v>
      </c>
      <c r="Q387" s="11">
        <f>YEAR(RecetteTransport2[[#This Row],[Date validation Optique]])</f>
        <v>1900</v>
      </c>
      <c r="S387" s="47" t="e">
        <f>#REF!+10</f>
        <v>#REF!</v>
      </c>
      <c r="T387" s="50" t="e">
        <f>_xlfn.ISOWEEKNUM(RecetteTransport2[[#This Row],[Date Achevement  Mécanique]])</f>
        <v>#REF!</v>
      </c>
      <c r="U387" s="50" t="e">
        <f>YEAR(RecetteTransport2[[#This Row],[Date Achevement  Mécanique]])</f>
        <v>#REF!</v>
      </c>
      <c r="V387" s="47"/>
      <c r="W387" s="50">
        <f>_xlfn.ISOWEEKNUM(RecetteTransport2[[#This Row],[Date de mesure]])</f>
        <v>52</v>
      </c>
      <c r="X387" s="11">
        <f>YEAR(RecetteTransport2[[#This Row],[Date de mesure]])</f>
        <v>1900</v>
      </c>
      <c r="Y387" s="47"/>
      <c r="Z387" s="50">
        <f>_xlfn.ISOWEEKNUM(RecetteTransport2[[#This Row],[Date envoie dossier mesure]])</f>
        <v>52</v>
      </c>
      <c r="AA387" s="50">
        <f>YEAR(RecetteTransport2[[#This Row],[Date envoie dossier mesure]])</f>
        <v>1900</v>
      </c>
      <c r="AB387" s="11"/>
      <c r="AC387" s="11"/>
      <c r="AE387" s="6" t="e">
        <f>RecetteTransport2[[#All],[Nb de reprises Optiques]]/#REF!</f>
        <v>#REF!</v>
      </c>
      <c r="AF387" s="6"/>
    </row>
    <row r="388" spans="1:32" hidden="1" x14ac:dyDescent="0.3">
      <c r="A388" t="s">
        <v>12</v>
      </c>
      <c r="B388" t="s">
        <v>20</v>
      </c>
      <c r="C388" t="s">
        <v>341</v>
      </c>
      <c r="D388" t="s">
        <v>343</v>
      </c>
      <c r="G388" s="11"/>
      <c r="H388" s="11" t="s">
        <v>29</v>
      </c>
      <c r="I388" s="11" t="s">
        <v>29</v>
      </c>
      <c r="J388" s="11">
        <f>RecetteTransport2[[#All],[Fibres TC NOK]]</f>
        <v>0</v>
      </c>
      <c r="K388" s="50">
        <f>RecetteTransport2[[#All],[Valeur Critique]]</f>
        <v>0</v>
      </c>
      <c r="L388" s="50">
        <f>AD:AD</f>
        <v>4</v>
      </c>
      <c r="N388" t="s">
        <v>65</v>
      </c>
      <c r="P388">
        <f xml:space="preserve"> _xlfn.ISOWEEKNUM(RecetteTransport2[[#This Row],[Date validation Optique]])</f>
        <v>52</v>
      </c>
      <c r="Q388">
        <f>YEAR(RecetteTransport2[[#This Row],[Date validation Optique]])</f>
        <v>1900</v>
      </c>
      <c r="T388" s="50">
        <f>_xlfn.ISOWEEKNUM(RecetteTransport2[[#This Row],[Date Achevement  Mécanique]])</f>
        <v>52</v>
      </c>
      <c r="U388" s="50">
        <f>YEAR(RecetteTransport2[[#This Row],[Date Achevement  Mécanique]])</f>
        <v>1900</v>
      </c>
      <c r="V388" s="2">
        <v>44257</v>
      </c>
      <c r="W388" s="50">
        <f>_xlfn.ISOWEEKNUM(RecetteTransport2[[#This Row],[Date de mesure]])</f>
        <v>9</v>
      </c>
      <c r="X388" s="11">
        <f>YEAR(RecetteTransport2[[#This Row],[Date de mesure]])</f>
        <v>2021</v>
      </c>
      <c r="Y388" s="2">
        <v>44263</v>
      </c>
      <c r="Z388" s="50">
        <f>_xlfn.ISOWEEKNUM(RecetteTransport2[[#This Row],[Date envoie dossier mesure]])</f>
        <v>10</v>
      </c>
      <c r="AA388" s="50">
        <f>YEAR(RecetteTransport2[[#This Row],[Date envoie dossier mesure]])</f>
        <v>2021</v>
      </c>
      <c r="AB388" s="11">
        <v>0</v>
      </c>
      <c r="AC388" s="11">
        <v>0</v>
      </c>
      <c r="AD388" s="50">
        <v>4</v>
      </c>
      <c r="AE388" s="6" t="e">
        <f>RecetteTransport2[[#All],[Nb de reprises Optiques]]/#REF!</f>
        <v>#REF!</v>
      </c>
      <c r="AF388" s="6"/>
    </row>
    <row r="389" spans="1:32" x14ac:dyDescent="0.3">
      <c r="A389" t="s">
        <v>12</v>
      </c>
      <c r="D389" t="s">
        <v>595</v>
      </c>
      <c r="G389" s="11"/>
      <c r="H389" s="11"/>
      <c r="I389" s="11"/>
      <c r="J389" s="11">
        <f>RecetteTransport2[[#All],[Fibres TC NOK]]</f>
        <v>0</v>
      </c>
      <c r="K389" s="50">
        <f>RecetteTransport2[[#All],[Valeur Critique]]</f>
        <v>0</v>
      </c>
      <c r="L389" s="50">
        <f>AD:AD</f>
        <v>0</v>
      </c>
      <c r="P389" s="11">
        <f xml:space="preserve"> _xlfn.ISOWEEKNUM(RecetteTransport2[[#This Row],[Date validation Optique]])</f>
        <v>52</v>
      </c>
      <c r="Q389" s="11">
        <f>YEAR(RecetteTransport2[[#This Row],[Date validation Optique]])</f>
        <v>1900</v>
      </c>
      <c r="S389" s="47" t="e">
        <f>#REF!+10</f>
        <v>#REF!</v>
      </c>
      <c r="T389" s="50" t="e">
        <f>_xlfn.ISOWEEKNUM(RecetteTransport2[[#This Row],[Date Achevement  Mécanique]])</f>
        <v>#REF!</v>
      </c>
      <c r="U389" s="50" t="e">
        <f>YEAR(RecetteTransport2[[#This Row],[Date Achevement  Mécanique]])</f>
        <v>#REF!</v>
      </c>
      <c r="V389" s="47"/>
      <c r="W389" s="50">
        <f>_xlfn.ISOWEEKNUM(RecetteTransport2[[#This Row],[Date de mesure]])</f>
        <v>52</v>
      </c>
      <c r="X389" s="11">
        <f>YEAR(RecetteTransport2[[#This Row],[Date de mesure]])</f>
        <v>1900</v>
      </c>
      <c r="Y389" s="47"/>
      <c r="Z389" s="50">
        <f>_xlfn.ISOWEEKNUM(RecetteTransport2[[#This Row],[Date envoie dossier mesure]])</f>
        <v>52</v>
      </c>
      <c r="AA389" s="50">
        <f>YEAR(RecetteTransport2[[#This Row],[Date envoie dossier mesure]])</f>
        <v>1900</v>
      </c>
      <c r="AB389" s="11"/>
      <c r="AC389" s="11"/>
      <c r="AE389" s="6" t="e">
        <f>RecetteTransport2[[#All],[Nb de reprises Optiques]]/#REF!</f>
        <v>#REF!</v>
      </c>
      <c r="AF389" s="6"/>
    </row>
    <row r="390" spans="1:32" hidden="1" x14ac:dyDescent="0.3">
      <c r="A390" t="s">
        <v>12</v>
      </c>
      <c r="B390" t="s">
        <v>20</v>
      </c>
      <c r="C390" t="s">
        <v>370</v>
      </c>
      <c r="D390" t="s">
        <v>371</v>
      </c>
      <c r="G390" s="11"/>
      <c r="H390" s="11" t="s">
        <v>29</v>
      </c>
      <c r="I390" s="11" t="s">
        <v>29</v>
      </c>
      <c r="J390" s="11">
        <f>RecetteTransport2[[#All],[Fibres TC NOK]]</f>
        <v>0</v>
      </c>
      <c r="K390" s="50">
        <f>RecetteTransport2[[#All],[Valeur Critique]]</f>
        <v>5</v>
      </c>
      <c r="L390" s="50">
        <f>AD:AD</f>
        <v>59</v>
      </c>
      <c r="N390" t="s">
        <v>65</v>
      </c>
      <c r="P390">
        <f xml:space="preserve"> _xlfn.ISOWEEKNUM(RecetteTransport2[[#This Row],[Date validation Optique]])</f>
        <v>52</v>
      </c>
      <c r="Q390">
        <f>YEAR(RecetteTransport2[[#This Row],[Date validation Optique]])</f>
        <v>1900</v>
      </c>
      <c r="T390" s="50">
        <f>_xlfn.ISOWEEKNUM(RecetteTransport2[[#This Row],[Date Achevement  Mécanique]])</f>
        <v>52</v>
      </c>
      <c r="U390" s="50">
        <f>YEAR(RecetteTransport2[[#This Row],[Date Achevement  Mécanique]])</f>
        <v>1900</v>
      </c>
      <c r="V390" s="2">
        <v>44254</v>
      </c>
      <c r="W390" s="50">
        <f>_xlfn.ISOWEEKNUM(RecetteTransport2[[#This Row],[Date de mesure]])</f>
        <v>8</v>
      </c>
      <c r="X390" s="11">
        <f>YEAR(RecetteTransport2[[#This Row],[Date de mesure]])</f>
        <v>2021</v>
      </c>
      <c r="Y390" s="2">
        <v>44263</v>
      </c>
      <c r="Z390" s="50">
        <f>_xlfn.ISOWEEKNUM(RecetteTransport2[[#This Row],[Date envoie dossier mesure]])</f>
        <v>10</v>
      </c>
      <c r="AA390" s="50">
        <f>YEAR(RecetteTransport2[[#This Row],[Date envoie dossier mesure]])</f>
        <v>2021</v>
      </c>
      <c r="AB390" s="11">
        <v>0</v>
      </c>
      <c r="AC390" s="11">
        <v>5</v>
      </c>
      <c r="AD390" s="50">
        <v>59</v>
      </c>
      <c r="AE390" s="6" t="e">
        <f>RecetteTransport2[[#All],[Nb de reprises Optiques]]/#REF!</f>
        <v>#REF!</v>
      </c>
      <c r="AF390" s="6"/>
    </row>
    <row r="391" spans="1:32" hidden="1" x14ac:dyDescent="0.3">
      <c r="A391" t="s">
        <v>12</v>
      </c>
      <c r="B391" t="s">
        <v>20</v>
      </c>
      <c r="C391" t="s">
        <v>370</v>
      </c>
      <c r="D391" t="s">
        <v>372</v>
      </c>
      <c r="G391" s="11"/>
      <c r="H391" s="11" t="s">
        <v>29</v>
      </c>
      <c r="I391" s="11" t="s">
        <v>29</v>
      </c>
      <c r="J391" s="11">
        <f>RecetteTransport2[[#All],[Fibres TC NOK]]</f>
        <v>1</v>
      </c>
      <c r="K391" s="50">
        <f>RecetteTransport2[[#All],[Valeur Critique]]</f>
        <v>2</v>
      </c>
      <c r="L391" s="50">
        <f>AD:AD</f>
        <v>44</v>
      </c>
      <c r="N391" t="s">
        <v>65</v>
      </c>
      <c r="P391">
        <f xml:space="preserve"> _xlfn.ISOWEEKNUM(RecetteTransport2[[#This Row],[Date validation Optique]])</f>
        <v>52</v>
      </c>
      <c r="Q391">
        <f>YEAR(RecetteTransport2[[#This Row],[Date validation Optique]])</f>
        <v>1900</v>
      </c>
      <c r="T391" s="50">
        <f>_xlfn.ISOWEEKNUM(RecetteTransport2[[#This Row],[Date Achevement  Mécanique]])</f>
        <v>52</v>
      </c>
      <c r="U391" s="50">
        <f>YEAR(RecetteTransport2[[#This Row],[Date Achevement  Mécanique]])</f>
        <v>1900</v>
      </c>
      <c r="V391" s="2">
        <v>44254</v>
      </c>
      <c r="W391" s="50">
        <f>_xlfn.ISOWEEKNUM(RecetteTransport2[[#This Row],[Date de mesure]])</f>
        <v>8</v>
      </c>
      <c r="X391" s="11">
        <f>YEAR(RecetteTransport2[[#This Row],[Date de mesure]])</f>
        <v>2021</v>
      </c>
      <c r="Y391" s="2">
        <v>44263</v>
      </c>
      <c r="Z391" s="50">
        <f>_xlfn.ISOWEEKNUM(RecetteTransport2[[#This Row],[Date envoie dossier mesure]])</f>
        <v>10</v>
      </c>
      <c r="AA391" s="50">
        <f>YEAR(RecetteTransport2[[#This Row],[Date envoie dossier mesure]])</f>
        <v>2021</v>
      </c>
      <c r="AB391" s="11">
        <v>1</v>
      </c>
      <c r="AC391" s="11">
        <v>2</v>
      </c>
      <c r="AD391" s="50">
        <v>44</v>
      </c>
      <c r="AE391" s="6" t="e">
        <f>RecetteTransport2[[#All],[Nb de reprises Optiques]]/#REF!</f>
        <v>#REF!</v>
      </c>
      <c r="AF391" s="6"/>
    </row>
    <row r="392" spans="1:32" hidden="1" x14ac:dyDescent="0.3">
      <c r="A392" t="s">
        <v>12</v>
      </c>
      <c r="B392" t="s">
        <v>20</v>
      </c>
      <c r="C392" t="s">
        <v>370</v>
      </c>
      <c r="D392" t="s">
        <v>373</v>
      </c>
      <c r="G392" s="11"/>
      <c r="H392" s="11" t="s">
        <v>29</v>
      </c>
      <c r="I392" s="11" t="s">
        <v>29</v>
      </c>
      <c r="J392" s="11">
        <f>RecetteTransport2[[#All],[Fibres TC NOK]]</f>
        <v>0</v>
      </c>
      <c r="K392" s="50">
        <f>RecetteTransport2[[#All],[Valeur Critique]]</f>
        <v>0</v>
      </c>
      <c r="L392" s="50">
        <f>AD:AD</f>
        <v>11</v>
      </c>
      <c r="N392" t="s">
        <v>65</v>
      </c>
      <c r="P392">
        <f xml:space="preserve"> _xlfn.ISOWEEKNUM(RecetteTransport2[[#This Row],[Date validation Optique]])</f>
        <v>52</v>
      </c>
      <c r="Q392">
        <f>YEAR(RecetteTransport2[[#This Row],[Date validation Optique]])</f>
        <v>1900</v>
      </c>
      <c r="T392" s="50">
        <f>_xlfn.ISOWEEKNUM(RecetteTransport2[[#This Row],[Date Achevement  Mécanique]])</f>
        <v>52</v>
      </c>
      <c r="U392" s="50">
        <f>YEAR(RecetteTransport2[[#This Row],[Date Achevement  Mécanique]])</f>
        <v>1900</v>
      </c>
      <c r="V392" s="2">
        <v>44254</v>
      </c>
      <c r="W392" s="50">
        <f>_xlfn.ISOWEEKNUM(RecetteTransport2[[#This Row],[Date de mesure]])</f>
        <v>8</v>
      </c>
      <c r="X392" s="11">
        <f>YEAR(RecetteTransport2[[#This Row],[Date de mesure]])</f>
        <v>2021</v>
      </c>
      <c r="Y392" s="2">
        <v>44263</v>
      </c>
      <c r="Z392" s="50">
        <f>_xlfn.ISOWEEKNUM(RecetteTransport2[[#This Row],[Date envoie dossier mesure]])</f>
        <v>10</v>
      </c>
      <c r="AA392" s="50">
        <f>YEAR(RecetteTransport2[[#This Row],[Date envoie dossier mesure]])</f>
        <v>2021</v>
      </c>
      <c r="AB392" s="11">
        <v>0</v>
      </c>
      <c r="AC392" s="11">
        <v>0</v>
      </c>
      <c r="AD392" s="50">
        <v>11</v>
      </c>
      <c r="AE392" s="6" t="e">
        <f>RecetteTransport2[[#All],[Nb de reprises Optiques]]/#REF!</f>
        <v>#REF!</v>
      </c>
      <c r="AF392" s="6"/>
    </row>
    <row r="393" spans="1:32" x14ac:dyDescent="0.3">
      <c r="A393" t="s">
        <v>12</v>
      </c>
      <c r="D393" t="s">
        <v>596</v>
      </c>
      <c r="G393" s="11"/>
      <c r="H393" s="11"/>
      <c r="I393" s="11"/>
      <c r="J393" s="11">
        <f>RecetteTransport2[[#All],[Fibres TC NOK]]</f>
        <v>0</v>
      </c>
      <c r="K393" s="50">
        <f>RecetteTransport2[[#All],[Valeur Critique]]</f>
        <v>0</v>
      </c>
      <c r="L393" s="50">
        <f t="shared" ref="L393:L397" si="27">AD:AD</f>
        <v>0</v>
      </c>
      <c r="P393" s="11">
        <f xml:space="preserve"> _xlfn.ISOWEEKNUM(RecetteTransport2[[#This Row],[Date validation Optique]])</f>
        <v>52</v>
      </c>
      <c r="Q393" s="11">
        <f>YEAR(RecetteTransport2[[#This Row],[Date validation Optique]])</f>
        <v>1900</v>
      </c>
      <c r="S393" s="47" t="e">
        <f>#REF!+10</f>
        <v>#REF!</v>
      </c>
      <c r="T393" s="50" t="e">
        <f>_xlfn.ISOWEEKNUM(RecetteTransport2[[#This Row],[Date Achevement  Mécanique]])</f>
        <v>#REF!</v>
      </c>
      <c r="U393" s="50" t="e">
        <f>YEAR(RecetteTransport2[[#This Row],[Date Achevement  Mécanique]])</f>
        <v>#REF!</v>
      </c>
      <c r="V393" s="47"/>
      <c r="W393" s="50">
        <f>_xlfn.ISOWEEKNUM(RecetteTransport2[[#This Row],[Date de mesure]])</f>
        <v>52</v>
      </c>
      <c r="X393" s="11">
        <f>YEAR(RecetteTransport2[[#This Row],[Date de mesure]])</f>
        <v>1900</v>
      </c>
      <c r="Y393" s="47"/>
      <c r="Z393" s="50">
        <f>_xlfn.ISOWEEKNUM(RecetteTransport2[[#This Row],[Date envoie dossier mesure]])</f>
        <v>52</v>
      </c>
      <c r="AA393" s="50">
        <f>YEAR(RecetteTransport2[[#This Row],[Date envoie dossier mesure]])</f>
        <v>1900</v>
      </c>
      <c r="AB393" s="11"/>
      <c r="AC393" s="11"/>
      <c r="AE393" s="6" t="e">
        <f>RecetteTransport2[[#All],[Nb de reprises Optiques]]/#REF!</f>
        <v>#REF!</v>
      </c>
      <c r="AF393" s="6"/>
    </row>
    <row r="394" spans="1:32" x14ac:dyDescent="0.3">
      <c r="A394" t="s">
        <v>12</v>
      </c>
      <c r="B394" t="s">
        <v>20</v>
      </c>
      <c r="D394" t="s">
        <v>373</v>
      </c>
      <c r="G394" s="11"/>
      <c r="H394" s="11"/>
      <c r="I394" s="11"/>
      <c r="J394" s="11">
        <f>RecetteTransport2[[#All],[Fibres TC NOK]]</f>
        <v>0</v>
      </c>
      <c r="K394" s="50">
        <f>RecetteTransport2[[#All],[Valeur Critique]]</f>
        <v>0</v>
      </c>
      <c r="L394" s="50">
        <f t="shared" si="27"/>
        <v>0</v>
      </c>
      <c r="P394" s="11">
        <f xml:space="preserve"> _xlfn.ISOWEEKNUM(RecetteTransport2[[#This Row],[Date validation Optique]])</f>
        <v>52</v>
      </c>
      <c r="Q394" s="11">
        <f>YEAR(RecetteTransport2[[#This Row],[Date validation Optique]])</f>
        <v>1900</v>
      </c>
      <c r="S394" s="47" t="e">
        <f>#REF!+10</f>
        <v>#REF!</v>
      </c>
      <c r="T394" s="50" t="e">
        <f>_xlfn.ISOWEEKNUM(RecetteTransport2[[#This Row],[Date Achevement  Mécanique]])</f>
        <v>#REF!</v>
      </c>
      <c r="U394" s="50" t="e">
        <f>YEAR(RecetteTransport2[[#This Row],[Date Achevement  Mécanique]])</f>
        <v>#REF!</v>
      </c>
      <c r="V394" s="47"/>
      <c r="W394" s="50">
        <f>_xlfn.ISOWEEKNUM(RecetteTransport2[[#This Row],[Date de mesure]])</f>
        <v>52</v>
      </c>
      <c r="X394" s="11">
        <f>YEAR(RecetteTransport2[[#This Row],[Date de mesure]])</f>
        <v>1900</v>
      </c>
      <c r="Y394" s="47"/>
      <c r="Z394" s="50">
        <f>_xlfn.ISOWEEKNUM(RecetteTransport2[[#This Row],[Date envoie dossier mesure]])</f>
        <v>52</v>
      </c>
      <c r="AA394" s="50">
        <f>YEAR(RecetteTransport2[[#This Row],[Date envoie dossier mesure]])</f>
        <v>1900</v>
      </c>
      <c r="AB394" s="11"/>
      <c r="AC394" s="11"/>
      <c r="AE394" s="6" t="e">
        <f>RecetteTransport2[[#All],[Nb de reprises Optiques]]/#REF!</f>
        <v>#REF!</v>
      </c>
      <c r="AF394" s="6"/>
    </row>
    <row r="395" spans="1:32" x14ac:dyDescent="0.3">
      <c r="A395" t="s">
        <v>12</v>
      </c>
      <c r="D395" t="s">
        <v>597</v>
      </c>
      <c r="G395" s="11"/>
      <c r="H395" s="11"/>
      <c r="I395" s="11"/>
      <c r="J395" s="11">
        <f>RecetteTransport2[[#All],[Fibres TC NOK]]</f>
        <v>0</v>
      </c>
      <c r="K395" s="50">
        <f>RecetteTransport2[[#All],[Valeur Critique]]</f>
        <v>0</v>
      </c>
      <c r="L395" s="50">
        <f t="shared" si="27"/>
        <v>0</v>
      </c>
      <c r="P395" s="11">
        <f xml:space="preserve"> _xlfn.ISOWEEKNUM(RecetteTransport2[[#This Row],[Date validation Optique]])</f>
        <v>52</v>
      </c>
      <c r="Q395" s="11">
        <f>YEAR(RecetteTransport2[[#This Row],[Date validation Optique]])</f>
        <v>1900</v>
      </c>
      <c r="S395" s="47" t="e">
        <f>#REF!+10</f>
        <v>#REF!</v>
      </c>
      <c r="T395" s="50" t="e">
        <f>_xlfn.ISOWEEKNUM(RecetteTransport2[[#This Row],[Date Achevement  Mécanique]])</f>
        <v>#REF!</v>
      </c>
      <c r="U395" s="50" t="e">
        <f>YEAR(RecetteTransport2[[#This Row],[Date Achevement  Mécanique]])</f>
        <v>#REF!</v>
      </c>
      <c r="V395" s="47"/>
      <c r="W395" s="50">
        <f>_xlfn.ISOWEEKNUM(RecetteTransport2[[#This Row],[Date de mesure]])</f>
        <v>52</v>
      </c>
      <c r="X395" s="11">
        <f>YEAR(RecetteTransport2[[#This Row],[Date de mesure]])</f>
        <v>1900</v>
      </c>
      <c r="Y395" s="47"/>
      <c r="Z395" s="50">
        <f>_xlfn.ISOWEEKNUM(RecetteTransport2[[#This Row],[Date envoie dossier mesure]])</f>
        <v>52</v>
      </c>
      <c r="AA395" s="50">
        <f>YEAR(RecetteTransport2[[#This Row],[Date envoie dossier mesure]])</f>
        <v>1900</v>
      </c>
      <c r="AB395" s="11"/>
      <c r="AC395" s="11"/>
      <c r="AE395" s="6" t="e">
        <f>RecetteTransport2[[#All],[Nb de reprises Optiques]]/#REF!</f>
        <v>#REF!</v>
      </c>
      <c r="AF395" s="6"/>
    </row>
    <row r="396" spans="1:32" x14ac:dyDescent="0.3">
      <c r="A396" t="s">
        <v>12</v>
      </c>
      <c r="D396" t="s">
        <v>598</v>
      </c>
      <c r="G396" s="11"/>
      <c r="H396" s="11"/>
      <c r="I396" s="11"/>
      <c r="J396" s="11">
        <f>RecetteTransport2[[#All],[Fibres TC NOK]]</f>
        <v>0</v>
      </c>
      <c r="K396" s="50">
        <f>RecetteTransport2[[#All],[Valeur Critique]]</f>
        <v>0</v>
      </c>
      <c r="L396" s="50">
        <f t="shared" si="27"/>
        <v>0</v>
      </c>
      <c r="P396" s="11">
        <f xml:space="preserve"> _xlfn.ISOWEEKNUM(RecetteTransport2[[#This Row],[Date validation Optique]])</f>
        <v>52</v>
      </c>
      <c r="Q396" s="11">
        <f>YEAR(RecetteTransport2[[#This Row],[Date validation Optique]])</f>
        <v>1900</v>
      </c>
      <c r="S396" s="47" t="e">
        <f>#REF!+10</f>
        <v>#REF!</v>
      </c>
      <c r="T396" s="50" t="e">
        <f>_xlfn.ISOWEEKNUM(RecetteTransport2[[#This Row],[Date Achevement  Mécanique]])</f>
        <v>#REF!</v>
      </c>
      <c r="U396" s="50" t="e">
        <f>YEAR(RecetteTransport2[[#This Row],[Date Achevement  Mécanique]])</f>
        <v>#REF!</v>
      </c>
      <c r="V396" s="47"/>
      <c r="W396" s="50">
        <f>_xlfn.ISOWEEKNUM(RecetteTransport2[[#This Row],[Date de mesure]])</f>
        <v>52</v>
      </c>
      <c r="X396" s="11">
        <f>YEAR(RecetteTransport2[[#This Row],[Date de mesure]])</f>
        <v>1900</v>
      </c>
      <c r="Y396" s="47"/>
      <c r="Z396" s="50">
        <f>_xlfn.ISOWEEKNUM(RecetteTransport2[[#This Row],[Date envoie dossier mesure]])</f>
        <v>52</v>
      </c>
      <c r="AA396" s="50">
        <f>YEAR(RecetteTransport2[[#This Row],[Date envoie dossier mesure]])</f>
        <v>1900</v>
      </c>
      <c r="AB396" s="11"/>
      <c r="AC396" s="11"/>
      <c r="AE396" s="6" t="e">
        <f>RecetteTransport2[[#All],[Nb de reprises Optiques]]/#REF!</f>
        <v>#REF!</v>
      </c>
      <c r="AF396" s="6"/>
    </row>
    <row r="397" spans="1:32" x14ac:dyDescent="0.3">
      <c r="A397" t="s">
        <v>12</v>
      </c>
      <c r="D397" t="s">
        <v>599</v>
      </c>
      <c r="G397" s="11"/>
      <c r="H397" s="11"/>
      <c r="I397" s="11"/>
      <c r="J397" s="11">
        <f>RecetteTransport2[[#All],[Fibres TC NOK]]</f>
        <v>0</v>
      </c>
      <c r="K397" s="50">
        <f>RecetteTransport2[[#All],[Valeur Critique]]</f>
        <v>0</v>
      </c>
      <c r="L397" s="50">
        <f t="shared" si="27"/>
        <v>0</v>
      </c>
      <c r="P397" s="11">
        <f xml:space="preserve"> _xlfn.ISOWEEKNUM(RecetteTransport2[[#This Row],[Date validation Optique]])</f>
        <v>52</v>
      </c>
      <c r="Q397" s="11">
        <f>YEAR(RecetteTransport2[[#This Row],[Date validation Optique]])</f>
        <v>1900</v>
      </c>
      <c r="S397" s="47" t="e">
        <f>#REF!+10</f>
        <v>#REF!</v>
      </c>
      <c r="T397" s="50" t="e">
        <f>_xlfn.ISOWEEKNUM(RecetteTransport2[[#This Row],[Date Achevement  Mécanique]])</f>
        <v>#REF!</v>
      </c>
      <c r="U397" s="50" t="e">
        <f>YEAR(RecetteTransport2[[#This Row],[Date Achevement  Mécanique]])</f>
        <v>#REF!</v>
      </c>
      <c r="V397" s="47"/>
      <c r="W397" s="50">
        <f>_xlfn.ISOWEEKNUM(RecetteTransport2[[#This Row],[Date de mesure]])</f>
        <v>52</v>
      </c>
      <c r="X397" s="11">
        <f>YEAR(RecetteTransport2[[#This Row],[Date de mesure]])</f>
        <v>1900</v>
      </c>
      <c r="Y397" s="47"/>
      <c r="Z397" s="50">
        <f>_xlfn.ISOWEEKNUM(RecetteTransport2[[#This Row],[Date envoie dossier mesure]])</f>
        <v>52</v>
      </c>
      <c r="AA397" s="50">
        <f>YEAR(RecetteTransport2[[#This Row],[Date envoie dossier mesure]])</f>
        <v>1900</v>
      </c>
      <c r="AB397" s="11"/>
      <c r="AC397" s="11"/>
      <c r="AE397" s="6" t="e">
        <f>RecetteTransport2[[#All],[Nb de reprises Optiques]]/#REF!</f>
        <v>#REF!</v>
      </c>
      <c r="AF397" s="6"/>
    </row>
    <row r="398" spans="1:32" x14ac:dyDescent="0.3">
      <c r="A398" t="s">
        <v>293</v>
      </c>
      <c r="D398">
        <f>COUNTA(RecetteTransport2[PM])</f>
        <v>396</v>
      </c>
      <c r="F398">
        <f>COUNTA(RecetteTransport2[DOE REC])</f>
        <v>85</v>
      </c>
      <c r="G398">
        <f>COUNTA(RecetteTransport2[Méca])</f>
        <v>60</v>
      </c>
      <c r="H398">
        <f>COUNTA(RecetteTransport2[Mesure])</f>
        <v>222</v>
      </c>
      <c r="I398">
        <f>COUNTA(RecetteTransport2[DossierMesure])</f>
        <v>211</v>
      </c>
      <c r="AB398" s="11"/>
      <c r="AC398" s="11"/>
    </row>
    <row r="399" spans="1:32" x14ac:dyDescent="0.3">
      <c r="A399" s="48" t="s">
        <v>220</v>
      </c>
      <c r="G399" s="48"/>
      <c r="H399" s="48">
        <f>RecetteTransport2[[#Totals],[PM]]-RecetteTransport2[[#Totals],[Mesure]]</f>
        <v>174</v>
      </c>
      <c r="I399" s="48">
        <f>RecetteTransport2[[#Totals],[PM]]-RecetteTransport2[[#Totals],[DossierMesure]]</f>
        <v>185</v>
      </c>
    </row>
  </sheetData>
  <conditionalFormatting sqref="G1:I398">
    <cfRule type="containsBlanks" dxfId="41" priority="1">
      <formula>LEN(TRIM(G1))=0</formula>
    </cfRule>
  </conditionalFormatting>
  <conditionalFormatting sqref="J1:M398">
    <cfRule type="cellIs" dxfId="37" priority="2" operator="greaterThan">
      <formula>0</formula>
    </cfRule>
    <cfRule type="cellIs" dxfId="36" priority="3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B1066-BEC2-4A2B-81A0-DF26C65200D9}">
  <sheetPr codeName="Feuil6"/>
  <dimension ref="A1:Q15"/>
  <sheetViews>
    <sheetView workbookViewId="0">
      <selection activeCell="S9" sqref="S9"/>
    </sheetView>
  </sheetViews>
  <sheetFormatPr baseColWidth="10" defaultRowHeight="14.4" x14ac:dyDescent="0.3"/>
  <cols>
    <col min="1" max="1" width="7" customWidth="1"/>
    <col min="2" max="2" width="7.77734375" bestFit="1" customWidth="1"/>
    <col min="3" max="3" width="8" customWidth="1"/>
    <col min="4" max="4" width="12.109375" customWidth="1"/>
    <col min="5" max="5" width="0.6640625" style="50" hidden="1" customWidth="1"/>
    <col min="6" max="6" width="13.6640625" style="50" hidden="1" customWidth="1"/>
    <col min="7" max="7" width="11.109375" customWidth="1"/>
    <col min="8" max="8" width="0.109375" style="50" customWidth="1"/>
    <col min="9" max="9" width="23.44140625" style="50" hidden="1" customWidth="1"/>
    <col min="10" max="10" width="13.44140625" customWidth="1"/>
    <col min="11" max="11" width="14.88671875" customWidth="1"/>
    <col min="12" max="12" width="13.44140625" customWidth="1"/>
    <col min="13" max="13" width="7.88671875" customWidth="1"/>
    <col min="14" max="14" width="10.77734375" customWidth="1"/>
    <col min="15" max="15" width="12.6640625" customWidth="1"/>
    <col min="16" max="16" width="12.88671875" customWidth="1"/>
  </cols>
  <sheetData>
    <row r="1" spans="1:17" ht="52.8" customHeight="1" x14ac:dyDescent="0.3">
      <c r="A1" s="92" t="s">
        <v>376</v>
      </c>
      <c r="B1" s="92" t="s">
        <v>40</v>
      </c>
      <c r="C1" s="92" t="s">
        <v>377</v>
      </c>
      <c r="D1" s="3" t="s">
        <v>378</v>
      </c>
      <c r="E1" s="94" t="s">
        <v>386</v>
      </c>
      <c r="F1" s="94" t="s">
        <v>295</v>
      </c>
      <c r="G1" s="3" t="s">
        <v>379</v>
      </c>
      <c r="H1" s="94" t="s">
        <v>277</v>
      </c>
      <c r="I1" s="94" t="s">
        <v>106</v>
      </c>
      <c r="J1" s="3" t="s">
        <v>381</v>
      </c>
      <c r="K1" s="3" t="s">
        <v>392</v>
      </c>
      <c r="L1" s="3" t="s">
        <v>380</v>
      </c>
      <c r="M1" s="3" t="s">
        <v>393</v>
      </c>
      <c r="N1" s="3" t="s">
        <v>391</v>
      </c>
      <c r="O1" s="3" t="s">
        <v>394</v>
      </c>
      <c r="P1" s="3" t="s">
        <v>395</v>
      </c>
      <c r="Q1" s="93"/>
    </row>
    <row r="2" spans="1:17" x14ac:dyDescent="0.3">
      <c r="A2" t="s">
        <v>21</v>
      </c>
      <c r="B2" t="s">
        <v>56</v>
      </c>
      <c r="C2" t="s">
        <v>65</v>
      </c>
      <c r="D2" s="2">
        <v>44222</v>
      </c>
      <c r="E2" s="50">
        <f>_xlfn.ISOWEEKNUM(Tableau7[[#This Row],[Date de recette]])</f>
        <v>4</v>
      </c>
      <c r="F2" s="50">
        <f>YEAR(D2)</f>
        <v>2021</v>
      </c>
      <c r="G2" s="2">
        <v>44230</v>
      </c>
      <c r="H2" s="50">
        <f>_xlfn.ISOWEEKNUM(Tableau7[[#This Row],[Date d''envoie du dossier]])</f>
        <v>5</v>
      </c>
      <c r="I2" s="50">
        <f>YEAR(Tableau7[[#This Row],[Date d''envoie du dossier]])</f>
        <v>2021</v>
      </c>
      <c r="J2">
        <v>49</v>
      </c>
      <c r="K2">
        <v>164</v>
      </c>
      <c r="L2">
        <f>Tableau7[[#This Row],[Nb Non conforme  initiale]]/Tableau7[[#This Row],[Nombre objets contrôlés]]</f>
        <v>3.3469387755102042</v>
      </c>
      <c r="M2">
        <v>9</v>
      </c>
      <c r="N2">
        <f t="shared" ref="N2:N15" si="0">M:M/J:J</f>
        <v>0.18367346938775511</v>
      </c>
    </row>
    <row r="3" spans="1:17" x14ac:dyDescent="0.3">
      <c r="A3" t="s">
        <v>13</v>
      </c>
      <c r="B3" t="s">
        <v>41</v>
      </c>
      <c r="C3" t="s">
        <v>65</v>
      </c>
      <c r="D3" s="2">
        <v>44253</v>
      </c>
      <c r="E3" s="50">
        <f>_xlfn.ISOWEEKNUM(Tableau7[[#This Row],[Date de recette]])</f>
        <v>8</v>
      </c>
      <c r="F3" s="50">
        <f t="shared" ref="F3:F15" si="1">YEAR(D3)</f>
        <v>2021</v>
      </c>
      <c r="G3" s="2">
        <v>44256</v>
      </c>
      <c r="H3" s="50">
        <f>_xlfn.ISOWEEKNUM(Tableau7[[#This Row],[Date d''envoie du dossier]])</f>
        <v>9</v>
      </c>
      <c r="I3" s="50">
        <f>YEAR(Tableau7[[#This Row],[Date d''envoie du dossier]])</f>
        <v>2021</v>
      </c>
      <c r="J3">
        <v>83</v>
      </c>
      <c r="K3">
        <v>263</v>
      </c>
      <c r="L3">
        <f>Tableau7[[#This Row],[Nb Non conforme  initiale]]/Tableau7[[#This Row],[Nombre objets contrôlés]]</f>
        <v>3.1686746987951806</v>
      </c>
      <c r="M3">
        <v>36</v>
      </c>
      <c r="N3">
        <f t="shared" si="0"/>
        <v>0.43373493975903615</v>
      </c>
    </row>
    <row r="4" spans="1:17" x14ac:dyDescent="0.3">
      <c r="A4" t="s">
        <v>19</v>
      </c>
      <c r="B4" t="s">
        <v>402</v>
      </c>
      <c r="C4" t="s">
        <v>65</v>
      </c>
      <c r="D4" s="2">
        <v>44259</v>
      </c>
      <c r="E4" s="50">
        <f>_xlfn.ISOWEEKNUM(Tableau7[[#This Row],[Date de recette]])</f>
        <v>9</v>
      </c>
      <c r="F4" s="50">
        <f t="shared" si="1"/>
        <v>2021</v>
      </c>
      <c r="G4" s="2">
        <v>44271</v>
      </c>
      <c r="H4" s="50">
        <f>_xlfn.ISOWEEKNUM(Tableau7[[#This Row],[Date d''envoie du dossier]])</f>
        <v>11</v>
      </c>
      <c r="I4" s="50">
        <f>YEAR(Tableau7[[#This Row],[Date d''envoie du dossier]])</f>
        <v>2021</v>
      </c>
      <c r="J4">
        <v>51</v>
      </c>
      <c r="K4">
        <v>53</v>
      </c>
      <c r="L4">
        <f>Tableau7[[#This Row],[Nb Non conforme  initiale]]/Tableau7[[#This Row],[Nombre objets contrôlés]]</f>
        <v>1.0392156862745099</v>
      </c>
      <c r="M4">
        <v>7</v>
      </c>
      <c r="N4">
        <f t="shared" si="0"/>
        <v>0.13725490196078433</v>
      </c>
    </row>
    <row r="5" spans="1:17" x14ac:dyDescent="0.3">
      <c r="D5" s="2"/>
      <c r="E5" s="50">
        <f>_xlfn.ISOWEEKNUM(Tableau7[[#This Row],[Date de recette]])</f>
        <v>52</v>
      </c>
      <c r="F5" s="50">
        <f t="shared" si="1"/>
        <v>1900</v>
      </c>
      <c r="G5" s="2"/>
      <c r="H5" s="50">
        <f>_xlfn.ISOWEEKNUM(Tableau7[[#This Row],[Date d''envoie du dossier]])</f>
        <v>52</v>
      </c>
      <c r="I5" s="50">
        <f>YEAR(Tableau7[[#This Row],[Date d''envoie du dossier]])</f>
        <v>1900</v>
      </c>
      <c r="L5" t="e">
        <f>Tableau7[[#This Row],[Nb Non conforme  initiale]]/Tableau7[[#This Row],[Nombre objets contrôlés]]</f>
        <v>#DIV/0!</v>
      </c>
      <c r="N5" t="e">
        <f t="shared" si="0"/>
        <v>#DIV/0!</v>
      </c>
    </row>
    <row r="6" spans="1:17" x14ac:dyDescent="0.3">
      <c r="D6" s="2"/>
      <c r="E6" s="50">
        <f>_xlfn.ISOWEEKNUM(Tableau7[[#This Row],[Date de recette]])</f>
        <v>52</v>
      </c>
      <c r="F6" s="50">
        <f t="shared" si="1"/>
        <v>1900</v>
      </c>
      <c r="G6" s="2"/>
      <c r="H6" s="50">
        <f>_xlfn.ISOWEEKNUM(Tableau7[[#This Row],[Date d''envoie du dossier]])</f>
        <v>52</v>
      </c>
      <c r="I6" s="50">
        <f>YEAR(Tableau7[[#This Row],[Date d''envoie du dossier]])</f>
        <v>1900</v>
      </c>
      <c r="L6" t="e">
        <f>Tableau7[[#This Row],[Nb Non conforme  initiale]]/Tableau7[[#This Row],[Nombre objets contrôlés]]</f>
        <v>#DIV/0!</v>
      </c>
      <c r="N6" t="e">
        <f t="shared" si="0"/>
        <v>#DIV/0!</v>
      </c>
    </row>
    <row r="7" spans="1:17" x14ac:dyDescent="0.3">
      <c r="D7" s="2"/>
      <c r="E7" s="50">
        <f>_xlfn.ISOWEEKNUM(Tableau7[[#This Row],[Date de recette]])</f>
        <v>52</v>
      </c>
      <c r="F7" s="50">
        <f t="shared" si="1"/>
        <v>1900</v>
      </c>
      <c r="G7" s="2"/>
      <c r="H7" s="50">
        <f>_xlfn.ISOWEEKNUM(Tableau7[[#This Row],[Date d''envoie du dossier]])</f>
        <v>52</v>
      </c>
      <c r="I7" s="50">
        <f>YEAR(Tableau7[[#This Row],[Date d''envoie du dossier]])</f>
        <v>1900</v>
      </c>
      <c r="L7" t="e">
        <f>Tableau7[[#This Row],[Nb Non conforme  initiale]]/Tableau7[[#This Row],[Nombre objets contrôlés]]</f>
        <v>#DIV/0!</v>
      </c>
      <c r="N7" t="e">
        <f t="shared" si="0"/>
        <v>#DIV/0!</v>
      </c>
    </row>
    <row r="8" spans="1:17" x14ac:dyDescent="0.3">
      <c r="D8" s="2"/>
      <c r="E8" s="50">
        <f>_xlfn.ISOWEEKNUM(Tableau7[[#This Row],[Date de recette]])</f>
        <v>52</v>
      </c>
      <c r="F8" s="50">
        <f t="shared" si="1"/>
        <v>1900</v>
      </c>
      <c r="G8" s="2"/>
      <c r="H8" s="50">
        <f>_xlfn.ISOWEEKNUM(Tableau7[[#This Row],[Date d''envoie du dossier]])</f>
        <v>52</v>
      </c>
      <c r="I8" s="50">
        <f>YEAR(Tableau7[[#This Row],[Date d''envoie du dossier]])</f>
        <v>1900</v>
      </c>
      <c r="L8" t="e">
        <f>Tableau7[[#This Row],[Nb Non conforme  initiale]]/Tableau7[[#This Row],[Nombre objets contrôlés]]</f>
        <v>#DIV/0!</v>
      </c>
      <c r="N8" t="e">
        <f t="shared" si="0"/>
        <v>#DIV/0!</v>
      </c>
    </row>
    <row r="9" spans="1:17" x14ac:dyDescent="0.3">
      <c r="D9" s="2"/>
      <c r="E9" s="50">
        <f>_xlfn.ISOWEEKNUM(Tableau7[[#This Row],[Date de recette]])</f>
        <v>52</v>
      </c>
      <c r="F9" s="50">
        <f t="shared" si="1"/>
        <v>1900</v>
      </c>
      <c r="G9" s="2"/>
      <c r="H9" s="50">
        <f>_xlfn.ISOWEEKNUM(Tableau7[[#This Row],[Date d''envoie du dossier]])</f>
        <v>52</v>
      </c>
      <c r="I9" s="50">
        <f>YEAR(Tableau7[[#This Row],[Date d''envoie du dossier]])</f>
        <v>1900</v>
      </c>
      <c r="L9" t="e">
        <f>Tableau7[[#This Row],[Nb Non conforme  initiale]]/Tableau7[[#This Row],[Nombre objets contrôlés]]</f>
        <v>#DIV/0!</v>
      </c>
      <c r="N9" t="e">
        <f t="shared" si="0"/>
        <v>#DIV/0!</v>
      </c>
    </row>
    <row r="10" spans="1:17" x14ac:dyDescent="0.3">
      <c r="D10" s="2"/>
      <c r="E10" s="50">
        <f>_xlfn.ISOWEEKNUM(Tableau7[[#This Row],[Date de recette]])</f>
        <v>52</v>
      </c>
      <c r="F10" s="50">
        <f t="shared" si="1"/>
        <v>1900</v>
      </c>
      <c r="G10" s="2"/>
      <c r="H10" s="50">
        <f>_xlfn.ISOWEEKNUM(Tableau7[[#This Row],[Date d''envoie du dossier]])</f>
        <v>52</v>
      </c>
      <c r="I10" s="50">
        <f>YEAR(Tableau7[[#This Row],[Date d''envoie du dossier]])</f>
        <v>1900</v>
      </c>
      <c r="L10" t="e">
        <f>Tableau7[[#This Row],[Nb Non conforme  initiale]]/Tableau7[[#This Row],[Nombre objets contrôlés]]</f>
        <v>#DIV/0!</v>
      </c>
      <c r="N10" t="e">
        <f t="shared" si="0"/>
        <v>#DIV/0!</v>
      </c>
    </row>
    <row r="11" spans="1:17" x14ac:dyDescent="0.3">
      <c r="D11" s="2"/>
      <c r="E11" s="50">
        <f>_xlfn.ISOWEEKNUM(Tableau7[[#This Row],[Date de recette]])</f>
        <v>52</v>
      </c>
      <c r="F11" s="50">
        <f t="shared" si="1"/>
        <v>1900</v>
      </c>
      <c r="G11" s="2"/>
      <c r="H11" s="50">
        <f>_xlfn.ISOWEEKNUM(Tableau7[[#This Row],[Date d''envoie du dossier]])</f>
        <v>52</v>
      </c>
      <c r="I11" s="50">
        <f>YEAR(Tableau7[[#This Row],[Date d''envoie du dossier]])</f>
        <v>1900</v>
      </c>
      <c r="L11" t="e">
        <f>Tableau7[[#This Row],[Nb Non conforme  initiale]]/Tableau7[[#This Row],[Nombre objets contrôlés]]</f>
        <v>#DIV/0!</v>
      </c>
      <c r="N11" t="e">
        <f t="shared" si="0"/>
        <v>#DIV/0!</v>
      </c>
    </row>
    <row r="12" spans="1:17" x14ac:dyDescent="0.3">
      <c r="D12" s="2"/>
      <c r="E12" s="50">
        <f>_xlfn.ISOWEEKNUM(Tableau7[[#This Row],[Date de recette]])</f>
        <v>52</v>
      </c>
      <c r="F12" s="50">
        <f t="shared" si="1"/>
        <v>1900</v>
      </c>
      <c r="G12" s="2"/>
      <c r="H12" s="50">
        <f>_xlfn.ISOWEEKNUM(Tableau7[[#This Row],[Date d''envoie du dossier]])</f>
        <v>52</v>
      </c>
      <c r="I12" s="50">
        <f>YEAR(Tableau7[[#This Row],[Date d''envoie du dossier]])</f>
        <v>1900</v>
      </c>
      <c r="L12" t="e">
        <f>Tableau7[[#This Row],[Nb Non conforme  initiale]]/Tableau7[[#This Row],[Nombre objets contrôlés]]</f>
        <v>#DIV/0!</v>
      </c>
      <c r="N12" t="e">
        <f t="shared" si="0"/>
        <v>#DIV/0!</v>
      </c>
    </row>
    <row r="13" spans="1:17" x14ac:dyDescent="0.3">
      <c r="D13" s="2"/>
      <c r="E13" s="50">
        <f>_xlfn.ISOWEEKNUM(Tableau7[[#This Row],[Date de recette]])</f>
        <v>52</v>
      </c>
      <c r="F13" s="50">
        <f t="shared" si="1"/>
        <v>1900</v>
      </c>
      <c r="G13" s="2"/>
      <c r="H13" s="50">
        <f>_xlfn.ISOWEEKNUM(Tableau7[[#This Row],[Date d''envoie du dossier]])</f>
        <v>52</v>
      </c>
      <c r="I13" s="50">
        <f>YEAR(Tableau7[[#This Row],[Date d''envoie du dossier]])</f>
        <v>1900</v>
      </c>
      <c r="L13" t="e">
        <f>Tableau7[[#This Row],[Nb Non conforme  initiale]]/Tableau7[[#This Row],[Nombre objets contrôlés]]</f>
        <v>#DIV/0!</v>
      </c>
      <c r="N13" t="e">
        <f t="shared" si="0"/>
        <v>#DIV/0!</v>
      </c>
    </row>
    <row r="14" spans="1:17" x14ac:dyDescent="0.3">
      <c r="D14" s="2"/>
      <c r="E14" s="50">
        <f>_xlfn.ISOWEEKNUM(Tableau7[[#This Row],[Date de recette]])</f>
        <v>52</v>
      </c>
      <c r="F14" s="50">
        <f t="shared" si="1"/>
        <v>1900</v>
      </c>
      <c r="G14" s="2"/>
      <c r="H14" s="50">
        <f>_xlfn.ISOWEEKNUM(Tableau7[[#This Row],[Date d''envoie du dossier]])</f>
        <v>52</v>
      </c>
      <c r="I14" s="50">
        <f>YEAR(Tableau7[[#This Row],[Date d''envoie du dossier]])</f>
        <v>1900</v>
      </c>
      <c r="L14" t="e">
        <f>Tableau7[[#This Row],[Nb Non conforme  initiale]]/Tableau7[[#This Row],[Nombre objets contrôlés]]</f>
        <v>#DIV/0!</v>
      </c>
      <c r="N14" t="e">
        <f t="shared" si="0"/>
        <v>#DIV/0!</v>
      </c>
    </row>
    <row r="15" spans="1:17" x14ac:dyDescent="0.3">
      <c r="D15" s="2"/>
      <c r="E15" s="50">
        <f>_xlfn.ISOWEEKNUM(Tableau7[[#This Row],[Date de recette]])</f>
        <v>52</v>
      </c>
      <c r="F15" s="50">
        <f t="shared" si="1"/>
        <v>1900</v>
      </c>
      <c r="G15" s="2"/>
      <c r="H15" s="50">
        <f>_xlfn.ISOWEEKNUM(Tableau7[[#This Row],[Date d''envoie du dossier]])</f>
        <v>52</v>
      </c>
      <c r="I15" s="50">
        <f>YEAR(Tableau7[[#This Row],[Date d''envoie du dossier]])</f>
        <v>1900</v>
      </c>
      <c r="L15" t="e">
        <f>Tableau7[[#This Row],[Nb Non conforme  initiale]]/Tableau7[[#This Row],[Nombre objets contrôlés]]</f>
        <v>#DIV/0!</v>
      </c>
      <c r="N15" t="e">
        <f t="shared" si="0"/>
        <v>#DIV/0!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66C0-D5DE-4BED-853B-B2D20ECCC636}">
  <sheetPr codeName="Feuil2"/>
  <dimension ref="A1:I13"/>
  <sheetViews>
    <sheetView workbookViewId="0">
      <selection activeCell="D23" sqref="D23"/>
    </sheetView>
  </sheetViews>
  <sheetFormatPr baseColWidth="10" defaultRowHeight="14.4" x14ac:dyDescent="0.3"/>
  <cols>
    <col min="1" max="1" width="16.6640625" bestFit="1" customWidth="1"/>
  </cols>
  <sheetData>
    <row r="1" spans="1:9" x14ac:dyDescent="0.3">
      <c r="A1" s="26"/>
      <c r="B1" s="72" t="s">
        <v>21</v>
      </c>
      <c r="C1" s="72" t="s">
        <v>19</v>
      </c>
      <c r="D1" s="72" t="s">
        <v>63</v>
      </c>
      <c r="E1" s="72" t="s">
        <v>13</v>
      </c>
      <c r="F1" s="72" t="s">
        <v>20</v>
      </c>
      <c r="G1" s="72" t="s">
        <v>15</v>
      </c>
      <c r="H1" s="72" t="s">
        <v>225</v>
      </c>
      <c r="I1" s="72" t="s">
        <v>228</v>
      </c>
    </row>
    <row r="2" spans="1:9" x14ac:dyDescent="0.3">
      <c r="A2" s="73" t="s">
        <v>292</v>
      </c>
      <c r="B2" s="24">
        <f>COUNTIFS(Réflecto!B:B,"ASPEN")</f>
        <v>28</v>
      </c>
      <c r="C2" s="24">
        <f>COUNTIFS(Réflecto!B:B,"BYON")</f>
        <v>39</v>
      </c>
      <c r="D2" s="24">
        <f>COUNTIFS(Réflecto!B:B,"SOGETREL")</f>
        <v>17</v>
      </c>
      <c r="E2" s="24">
        <f>COUNTIFS(Réflecto!B:B,"HERRAS")</f>
        <v>73</v>
      </c>
      <c r="F2" s="24">
        <f>COUNTIFS(Réflecto!B:B,"POLYKABEL")</f>
        <v>75</v>
      </c>
      <c r="G2" s="24">
        <f>COUNTIFS(Réflecto!B:B,"SMT")</f>
        <v>79</v>
      </c>
      <c r="H2" s="24">
        <f>COUNTIFS(Réflecto!B:B,"FUZION")</f>
        <v>8</v>
      </c>
      <c r="I2" s="24">
        <f>B2+C2+D2+E2+F2+G2+H2</f>
        <v>319</v>
      </c>
    </row>
    <row r="3" spans="1:9" x14ac:dyDescent="0.3">
      <c r="A3" s="73" t="s">
        <v>226</v>
      </c>
      <c r="B3" s="24">
        <f>B2-COUNTIFS(Réflecto!B:B,"ASPEN",Réflecto!H:H,"Fait")</f>
        <v>0</v>
      </c>
      <c r="C3" s="24">
        <f>C2-COUNTIFS(Réflecto!B:B,"BYON",Réflecto!H:H,"Fait")</f>
        <v>14</v>
      </c>
      <c r="D3" s="24">
        <f>D2-COUNTIFS(Réflecto!B:B,"SOGETREL",Réflecto!H:H,"Fait")</f>
        <v>0</v>
      </c>
      <c r="E3" s="24">
        <f>E2-COUNTIFS(Réflecto!B:B,"HERRAS",Réflecto!H:H,"Fait")</f>
        <v>23</v>
      </c>
      <c r="F3" s="24">
        <f>F2-COUNTIFS(Réflecto!B:B,"POLYKABEL",Réflecto!H:H,"Fait")</f>
        <v>11</v>
      </c>
      <c r="G3" s="24">
        <f>G2-COUNTIFS(Réflecto!B:B,"SMT",Réflecto!H:H,"Fait")</f>
        <v>41</v>
      </c>
      <c r="H3" s="24">
        <f>H2-COUNTIFS(Réflecto!B:B,"FUZION",Réflecto!H:H,"Fait")</f>
        <v>8</v>
      </c>
      <c r="I3" s="24">
        <f>B3+C3+D3+E3+F3+G3+H3</f>
        <v>97</v>
      </c>
    </row>
    <row r="4" spans="1:9" x14ac:dyDescent="0.3">
      <c r="A4" s="73" t="s">
        <v>227</v>
      </c>
      <c r="B4" s="24">
        <f>B2-COUNTIFS(Réflecto!B:B,"ASPEN",Réflecto!I:I,"Fait")</f>
        <v>0</v>
      </c>
      <c r="C4" s="24">
        <f>C2-COUNTIFS(Réflecto!B:B,"BYON",Réflecto!I:I,"Fait")</f>
        <v>14</v>
      </c>
      <c r="D4" s="24">
        <f>D2-COUNTIFS(Réflecto!B:B,"SOGETREL",Réflecto!I:I,"Fait")</f>
        <v>0</v>
      </c>
      <c r="E4" s="24">
        <f>E2-COUNTIFS(Réflecto!B:B,"HERRAS",Réflecto!I:I,"Fait")</f>
        <v>29</v>
      </c>
      <c r="F4" s="24">
        <f>F2-COUNTIFS(Réflecto!B:B,"POLYKABEL",Réflecto!I:I,"Fait")</f>
        <v>12</v>
      </c>
      <c r="G4" s="24">
        <f>G2-COUNTIFS(Réflecto!B:B,"SMT",Réflecto!I:I,"Fait")</f>
        <v>45</v>
      </c>
      <c r="H4" s="24">
        <f>H3-COUNTIFS(Réflecto!B:B,"FUZION",Réflecto!I:I,"Fait")</f>
        <v>8</v>
      </c>
      <c r="I4" s="24">
        <f>B4+C4+D4+E4+F4+G4+H4</f>
        <v>108</v>
      </c>
    </row>
    <row r="5" spans="1:9" ht="15" thickBot="1" x14ac:dyDescent="0.35">
      <c r="A5" s="74" t="s">
        <v>221</v>
      </c>
      <c r="B5" s="25">
        <f>B2-COUNTIFS(Réflecto!B:B,"ASPEN",Réflecto!G:G,"Fait")</f>
        <v>9</v>
      </c>
      <c r="C5" s="25">
        <f>C2-COUNTIFS(Réflecto!B:B,"BYON",Réflecto!G:G,"Fait")</f>
        <v>23</v>
      </c>
      <c r="D5" s="25">
        <f>D2-COUNTIFS(Réflecto!D:D,"SOGETREL",Réflecto!G:G,"Fait")</f>
        <v>17</v>
      </c>
      <c r="E5" s="25">
        <f>E2-COUNTIFS(Réflecto!E:E,"HERRAS",Réflecto!J:J,"Fait")</f>
        <v>73</v>
      </c>
      <c r="F5" s="25">
        <f>F2-COUNTIFS(Réflecto!F:F,"POLYKABEL",Réflecto!G:G,"Fait")</f>
        <v>75</v>
      </c>
      <c r="G5" s="25">
        <f>G2-COUNTIFS(Réflecto!G:G,"SMT",Réflecto!G:G,"Fait")</f>
        <v>79</v>
      </c>
      <c r="H5" s="25">
        <f>H2-COUNTIFS(Réflecto!H:H,"FUZION",Réflecto!G:G,"Fait")</f>
        <v>8</v>
      </c>
      <c r="I5" s="25">
        <f>B5+C5+D5+E5+F5+G5+H5</f>
        <v>284</v>
      </c>
    </row>
    <row r="6" spans="1:9" ht="15" thickBot="1" x14ac:dyDescent="0.35"/>
    <row r="7" spans="1:9" ht="15" thickBot="1" x14ac:dyDescent="0.35">
      <c r="A7" s="111" t="s">
        <v>232</v>
      </c>
      <c r="B7" s="112"/>
      <c r="C7" s="112"/>
      <c r="D7" s="112"/>
      <c r="E7" s="112"/>
      <c r="F7" s="112"/>
      <c r="G7" s="112"/>
      <c r="H7" s="113"/>
      <c r="I7" s="77" t="s">
        <v>228</v>
      </c>
    </row>
    <row r="8" spans="1:9" ht="15" thickBot="1" x14ac:dyDescent="0.35">
      <c r="A8" s="83"/>
      <c r="B8" s="72" t="s">
        <v>21</v>
      </c>
      <c r="C8" s="72" t="s">
        <v>19</v>
      </c>
      <c r="D8" s="72" t="s">
        <v>63</v>
      </c>
      <c r="E8" s="72" t="s">
        <v>13</v>
      </c>
      <c r="F8" s="72" t="s">
        <v>20</v>
      </c>
      <c r="G8" s="72" t="s">
        <v>15</v>
      </c>
      <c r="H8" s="72" t="s">
        <v>225</v>
      </c>
      <c r="I8" s="84"/>
    </row>
    <row r="9" spans="1:9" x14ac:dyDescent="0.3">
      <c r="A9" s="75" t="s">
        <v>222</v>
      </c>
      <c r="B9" s="28">
        <v>0</v>
      </c>
      <c r="C9" s="28">
        <f>C11/52</f>
        <v>0.98076923076923073</v>
      </c>
      <c r="D9" s="28">
        <f>D11/52</f>
        <v>0.34615384615384615</v>
      </c>
      <c r="E9" s="28">
        <v>3</v>
      </c>
      <c r="F9" s="28">
        <f>F11/52</f>
        <v>2.4038461538461537</v>
      </c>
      <c r="G9" s="28">
        <f>G11/52</f>
        <v>2.0576923076923075</v>
      </c>
      <c r="H9" s="28">
        <f>H11/52</f>
        <v>0.51923076923076927</v>
      </c>
      <c r="I9" s="78">
        <f>B9+C9+D9+E9+F9+G9+H9</f>
        <v>9.3076923076923066</v>
      </c>
    </row>
    <row r="10" spans="1:9" x14ac:dyDescent="0.3">
      <c r="A10" s="76" t="s">
        <v>223</v>
      </c>
      <c r="B10" s="27">
        <v>0</v>
      </c>
      <c r="C10" s="27">
        <f>C11/12</f>
        <v>4.25</v>
      </c>
      <c r="D10" s="27">
        <f>D11/12</f>
        <v>1.5</v>
      </c>
      <c r="E10" s="27">
        <v>12</v>
      </c>
      <c r="F10" s="27">
        <f t="shared" ref="F10:H10" si="0">F11/12</f>
        <v>10.416666666666666</v>
      </c>
      <c r="G10" s="27">
        <f t="shared" si="0"/>
        <v>8.9166666666666661</v>
      </c>
      <c r="H10" s="27">
        <f t="shared" si="0"/>
        <v>2.25</v>
      </c>
      <c r="I10" s="78">
        <f>B10+C10+D10+E10+F10+G10+H10</f>
        <v>39.333333333333329</v>
      </c>
    </row>
    <row r="11" spans="1:9" x14ac:dyDescent="0.3">
      <c r="A11" s="76" t="s">
        <v>224</v>
      </c>
      <c r="B11" s="27">
        <v>0</v>
      </c>
      <c r="C11" s="27">
        <v>51</v>
      </c>
      <c r="D11" s="27">
        <v>18</v>
      </c>
      <c r="E11" s="27">
        <v>163</v>
      </c>
      <c r="F11" s="27">
        <v>125</v>
      </c>
      <c r="G11" s="27">
        <v>107</v>
      </c>
      <c r="H11" s="29">
        <v>27</v>
      </c>
      <c r="I11" s="78">
        <f>B11+C11+D11+E11+F11+G11+H11</f>
        <v>491</v>
      </c>
    </row>
    <row r="12" spans="1:9" ht="15" thickBot="1" x14ac:dyDescent="0.35">
      <c r="A12" s="30"/>
      <c r="B12" s="31"/>
      <c r="C12" s="31"/>
      <c r="D12" s="31"/>
      <c r="E12" s="31"/>
      <c r="F12" s="31"/>
      <c r="G12" s="31"/>
      <c r="H12" s="32"/>
      <c r="I12" s="79"/>
    </row>
    <row r="13" spans="1:9" x14ac:dyDescent="0.3">
      <c r="A13" s="6"/>
      <c r="B13" s="6"/>
      <c r="C13" s="6"/>
      <c r="D13" s="6"/>
      <c r="E13" s="6"/>
      <c r="F13" s="6"/>
      <c r="G13" s="6"/>
      <c r="H13" s="6"/>
      <c r="I13" s="6"/>
    </row>
  </sheetData>
  <mergeCells count="1">
    <mergeCell ref="A7:H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57E72-19AA-47D4-B7B0-EB2A6DDE7ECA}">
  <sheetPr codeName="Feuil3"/>
  <dimension ref="A1:S65"/>
  <sheetViews>
    <sheetView zoomScale="70" zoomScaleNormal="70" workbookViewId="0">
      <selection activeCell="A4" sqref="A4:XFD4"/>
    </sheetView>
  </sheetViews>
  <sheetFormatPr baseColWidth="10" defaultRowHeight="14.4" x14ac:dyDescent="0.3"/>
  <cols>
    <col min="1" max="1" width="36.88671875" bestFit="1" customWidth="1"/>
    <col min="6" max="6" width="12.5546875" customWidth="1"/>
  </cols>
  <sheetData>
    <row r="1" spans="1:19" x14ac:dyDescent="0.3">
      <c r="A1" t="s">
        <v>106</v>
      </c>
      <c r="B1" t="s">
        <v>21</v>
      </c>
      <c r="C1" t="s">
        <v>19</v>
      </c>
      <c r="D1" t="s">
        <v>63</v>
      </c>
      <c r="E1" t="s">
        <v>13</v>
      </c>
      <c r="F1" t="s">
        <v>20</v>
      </c>
      <c r="G1" t="s">
        <v>15</v>
      </c>
      <c r="H1" t="s">
        <v>225</v>
      </c>
      <c r="L1" t="s">
        <v>376</v>
      </c>
      <c r="M1" t="s">
        <v>21</v>
      </c>
      <c r="N1" t="s">
        <v>19</v>
      </c>
      <c r="O1" t="s">
        <v>63</v>
      </c>
      <c r="P1" t="s">
        <v>13</v>
      </c>
      <c r="Q1" t="s">
        <v>20</v>
      </c>
      <c r="R1" t="s">
        <v>15</v>
      </c>
      <c r="S1" t="s">
        <v>225</v>
      </c>
    </row>
    <row r="2" spans="1:19" x14ac:dyDescent="0.3">
      <c r="A2" s="110" t="s">
        <v>229</v>
      </c>
      <c r="B2" s="50">
        <f>SUMIFS(Réflecto!AD:AD,Réflecto!B:B,"ASPEN")/COUNTIFS(Réflecto!B:B,"ASPEN",Réflecto!I:I,"Fait")</f>
        <v>40.071428571428569</v>
      </c>
      <c r="C2" s="50">
        <f>SUMIFS(Réflecto!AD:AD,Réflecto!B:B,"BYON")/COUNTIFS(Réflecto!B:B,"BYON",Réflecto!I:I,"Fait")</f>
        <v>41.12</v>
      </c>
      <c r="D2" s="50">
        <f>SUMIFS(Réflecto!AD:AD,Réflecto!B:B,"SOGETREL")/COUNTIFS(Réflecto!B:B,"BYON",Réflecto!I:I,"Fait")</f>
        <v>6.04</v>
      </c>
      <c r="E2" s="50">
        <f>SUMIFS(Réflecto!AD:AD,Réflecto!B:B,"HERRAS")/COUNTIFS(Réflecto!B:B,"HERRAS",Réflecto!I:I,"Fait")</f>
        <v>29.681818181818183</v>
      </c>
      <c r="F2" s="50">
        <f>SUMIFS(Réflecto!AD:AD,Réflecto!B:B,"POLYKABEL")/COUNTIFS(Réflecto!B:B,"POLYKABEL",Réflecto!I:I,"Fait")</f>
        <v>27.746031746031747</v>
      </c>
      <c r="G2" s="50">
        <f>SUMIFS(Réflecto!AD:AD,Réflecto!B:B,"SMT")/COUNTIFS(Réflecto!B:B,"SMT",Réflecto!I:I,"Fait")</f>
        <v>40.147058823529413</v>
      </c>
      <c r="H2" s="110">
        <f>SUMIFS(Réflecto!L:L,Réflecto!B:B,"FUZION")/ COUNTIF(Réflecto!B:B,"FUZION")</f>
        <v>0</v>
      </c>
      <c r="L2" t="s">
        <v>443</v>
      </c>
    </row>
    <row r="3" spans="1:19" x14ac:dyDescent="0.3">
      <c r="A3" s="110" t="s">
        <v>230</v>
      </c>
      <c r="B3" s="110">
        <f>SUMIFS(Réflecto!AC:AC,Réflecto!B:B,"ASPEN")/ COUNTIFS(Réflecto!B:B,"ASPEN",Réflecto!I:I,"Fait")</f>
        <v>1.75</v>
      </c>
      <c r="C3" s="110">
        <f>SUMIFS(Réflecto!AC:AC,Réflecto!B:B,"BYON")/ COUNTIFS(Réflecto!B:B,"BYON",Réflecto!I:I,"Fait")</f>
        <v>1.08</v>
      </c>
      <c r="D3" s="110">
        <f>SUMIFS(Réflecto!AC:AC,Réflecto!B:B,"SOGETREL")/ COUNTIFS(Réflecto!B:B,"SOGETREL",Réflecto!I:I,"Fait")</f>
        <v>5.8823529411764705E-2</v>
      </c>
      <c r="E3" s="110">
        <f>SUMIFS(Réflecto!AC:AC,Réflecto!B:B,"HERRAS")/ COUNTIFS(Réflecto!B:B,"HERRAS",Réflecto!I:I,"Fait")</f>
        <v>0.81818181818181823</v>
      </c>
      <c r="F3" s="110">
        <f>SUMIFS(Réflecto!AC:AC,Réflecto!B:B,"POLYKABEL")/ COUNTIFS(Réflecto!B:B,"POLYKABEL",Réflecto!I:I,"Fait")</f>
        <v>0.5714285714285714</v>
      </c>
      <c r="G3" s="110">
        <f>SUMIFS(Réflecto!AC:AC,Réflecto!B:B,"SMT")/ COUNTIFS(Réflecto!B:B,"SMT",Réflecto!I:I,"Fait")</f>
        <v>0.73529411764705888</v>
      </c>
      <c r="H3" s="110" t="e">
        <f>SUMIFS(Réflecto!AC:AC,Réflecto!B:B,"FUZION")/ COUNTIFS(Réflecto!B:B,"FUZION",Réflecto!I:I,"Fait")</f>
        <v>#DIV/0!</v>
      </c>
    </row>
    <row r="4" spans="1:19" x14ac:dyDescent="0.3">
      <c r="A4" s="110" t="s">
        <v>231</v>
      </c>
      <c r="B4" s="6">
        <f>SUMIFS(Réflecto!AB:AB,Réflecto!B:B,"ASPEN")/ COUNTIFS(Réflecto!B:B,"ASPEN",Réflecto!I:I,"Fait")</f>
        <v>3.5714285714285712E-2</v>
      </c>
      <c r="C4" s="6">
        <f>SUMIFS(Réflecto!AB:AB,Réflecto!B:B,"BYON")/ COUNTIFS(Réflecto!B:B,"BYON",Réflecto!I:I,"Fait")</f>
        <v>0.6</v>
      </c>
      <c r="D4" s="6">
        <f>SUMIFS(Réflecto!AB:AB,Réflecto!B:B,"SOGETREL")/ COUNTIFS(Réflecto!B:B,"SOGETREL",Réflecto!I:I,"Fait")</f>
        <v>0.35294117647058826</v>
      </c>
      <c r="E4" s="6">
        <f>SUMIFS(Réflecto!AB:AB,Réflecto!B:B,"HERRAS")/ COUNTIFS(Réflecto!B:B,"HERRAS",Réflecto!I:I,"Fait")</f>
        <v>0.56818181818181823</v>
      </c>
      <c r="F4" s="6">
        <f>SUMIFS(Réflecto!AB:AB,Réflecto!B:B,"POLYKABEL")/ COUNTIFS(Réflecto!B:B,"POLYKABEL",Réflecto!I:I,"Fait")</f>
        <v>0.82539682539682535</v>
      </c>
      <c r="G4" s="6">
        <f>SUMIFS(Réflecto!AB:AB,Réflecto!B:B,"SMT")/ COUNTIFS(Réflecto!B:B,"SMT",Réflecto!I:I,"Fait")</f>
        <v>1.0294117647058822</v>
      </c>
      <c r="H4" s="6" t="e">
        <f>SUMIFS(Réflecto!AB:AB,Réflecto!B:B,"FUZION")/ COUNTIFS(Réflecto!B:B,"FUZION",Réflecto!I:I,"Fait")</f>
        <v>#DIV/0!</v>
      </c>
    </row>
    <row r="5" spans="1:19" x14ac:dyDescent="0.3">
      <c r="A5" s="110" t="s">
        <v>429</v>
      </c>
      <c r="B5" s="110">
        <f>SUMIFS(Méca!K:K,Méca!A:A,"ASPEN")/ SUMIFS(Méca!J:J,Méca!A:A,"ASPEN")</f>
        <v>3.3469387755102042</v>
      </c>
      <c r="C5" s="110">
        <f>SUMIFS(Méca!K:K,Méca!A:A,"BYON")/ SUMIFS(Méca!J:J,Méca!A:A,"BYON")</f>
        <v>1.0392156862745099</v>
      </c>
      <c r="D5" s="110" t="e">
        <f>SUMIFS(Méca!K:K,Méca!A:A,"SOGETREL")/ SUMIFS(Méca!J:J,Méca!A:A,"SOGETREL")</f>
        <v>#DIV/0!</v>
      </c>
      <c r="E5" s="110">
        <f>SUMIFS(Méca!K:K,Méca!A:A,"HERRAS")/ SUMIFS(Méca!J:J,Méca!A:A,"HERRAS")</f>
        <v>3.1686746987951806</v>
      </c>
      <c r="F5" s="110" t="e">
        <f>SUMIFS(Méca!K:K,Méca!A:A,"POLYKABEL")/ SUMIFS(Méca!J:J,Méca!A:A,"POLYKABEL")</f>
        <v>#DIV/0!</v>
      </c>
      <c r="G5" s="110" t="e">
        <f>SUMIFS(Méca!K:K,Méca!A:A,"SMT")/ SUMIFS(Méca!J:J,Méca!A:A,"SMT")</f>
        <v>#DIV/0!</v>
      </c>
      <c r="H5" s="110" t="e">
        <f>SUMIFS(Méca!K:K,Méca!A:A,"FUZION")/ SUMIFS(Méca!J:J,Méca!A:A,"FUZION")</f>
        <v>#DIV/0!</v>
      </c>
    </row>
    <row r="6" spans="1:19" x14ac:dyDescent="0.3">
      <c r="A6" s="110" t="s">
        <v>428</v>
      </c>
      <c r="B6" s="110">
        <f>SUMIFS(Méca!M:M,Méca!A:A,"ASPEN")/ SUMIFS(Méca!J:J,Méca!A:A,"ASPEN")</f>
        <v>0.18367346938775511</v>
      </c>
      <c r="C6" s="110">
        <f>SUMIFS(Méca!M:M,Méca!A:A,"BYON")/ SUMIFS(Méca!J:J,Méca!A:A,"BYON")</f>
        <v>0.13725490196078433</v>
      </c>
      <c r="D6" s="110" t="e">
        <f>SUMIFS(Méca!M:M,Méca!A:A,"SOGETREL")/ SUMIFS(Méca!J:J,Méca!A:A,"SOGETREL")</f>
        <v>#DIV/0!</v>
      </c>
      <c r="E6" s="110">
        <f>SUMIFS(Méca!M:M,Méca!A:A,"HERRAS")/ SUMIFS(Méca!J:J,Méca!A:A,"HERRAS")</f>
        <v>0.43373493975903615</v>
      </c>
      <c r="F6" s="110" t="e">
        <f>SUMIFS(Méca!M:M,Méca!A:A,"POLYKABEL")/ SUMIFS(Méca!J:J,Méca!A:A,"POLYKABEL")</f>
        <v>#DIV/0!</v>
      </c>
      <c r="G6" s="110" t="e">
        <f>SUMIFS(Méca!M:M,Méca!A:A,"SMT")/ SUMIFS(Méca!J:J,Méca!A:A,"SMT")</f>
        <v>#DIV/0!</v>
      </c>
      <c r="H6" s="110" t="e">
        <f>SUMIFS(Méca!M:M,Méca!A:A,"FUZION")/ SUMIFS(Méca!J:J,Méca!A:A,"FUZION")</f>
        <v>#DIV/0!</v>
      </c>
    </row>
    <row r="37" spans="1:8" x14ac:dyDescent="0.3">
      <c r="A37" t="s">
        <v>376</v>
      </c>
      <c r="B37" t="s">
        <v>21</v>
      </c>
      <c r="C37" t="s">
        <v>19</v>
      </c>
      <c r="D37" t="s">
        <v>63</v>
      </c>
      <c r="E37" t="s">
        <v>13</v>
      </c>
      <c r="F37" t="s">
        <v>20</v>
      </c>
      <c r="G37" t="s">
        <v>15</v>
      </c>
      <c r="H37" t="s">
        <v>225</v>
      </c>
    </row>
    <row r="38" spans="1:8" x14ac:dyDescent="0.3">
      <c r="A38" t="s">
        <v>430</v>
      </c>
      <c r="B38">
        <f>COUNTIFS(Réflecto!B:B,"ASPEN",Réflecto!H:H,"FAIT")</f>
        <v>28</v>
      </c>
      <c r="C38">
        <f>COUNTIFS(Réflecto!B:B,"BYON",Réflecto!H:H,"FAIT")</f>
        <v>25</v>
      </c>
      <c r="D38">
        <f>COUNTIFS(Réflecto!B:B,"SOGETREL",Réflecto!H:H,"FAIT")</f>
        <v>17</v>
      </c>
      <c r="E38">
        <f>COUNTIFS(Réflecto!B:B,"HERRAS",Réflecto!H:H,"FAIT")</f>
        <v>50</v>
      </c>
      <c r="F38">
        <f>COUNTIFS(Réflecto!B:B,"POLYKABEL",Réflecto!H:H,"FAIT")</f>
        <v>64</v>
      </c>
      <c r="G38">
        <f>COUNTIFS(Réflecto!B:B,"SMT",Réflecto!H:H,"FAIT")</f>
        <v>38</v>
      </c>
      <c r="H38">
        <f>COUNTIFS(Réflecto!B:B,"FUZION",Réflecto!I:I,"FAIT")</f>
        <v>0</v>
      </c>
    </row>
    <row r="39" spans="1:8" x14ac:dyDescent="0.3">
      <c r="A39" s="2" t="s">
        <v>432</v>
      </c>
      <c r="B39">
        <f>COUNTIFS(Réflecto!B:B,"ASPEN") -B38</f>
        <v>0</v>
      </c>
      <c r="C39">
        <f>COUNTIFS(Réflecto!B:B,"BYON") -C38</f>
        <v>14</v>
      </c>
      <c r="D39">
        <f>COUNTIFS(Réflecto!B:B,"SOGETREL") -D38</f>
        <v>0</v>
      </c>
      <c r="E39">
        <f>COUNTIFS(Réflecto!B:B,"HERRAS") -E38</f>
        <v>23</v>
      </c>
      <c r="F39">
        <f>COUNTIFS(Réflecto!B:B,"POLYKABEL") -F38</f>
        <v>11</v>
      </c>
      <c r="G39">
        <f>COUNTIFS(Réflecto!B:B,"SMT") -G38</f>
        <v>41</v>
      </c>
      <c r="H39">
        <f>COUNTIFS(Réflecto!H:H,"FUZION") -H38</f>
        <v>0</v>
      </c>
    </row>
    <row r="40" spans="1:8" x14ac:dyDescent="0.3">
      <c r="A40" t="s">
        <v>431</v>
      </c>
      <c r="B40">
        <f>COUNTIFS(Réflecto!B:B,"ASPEN",Réflecto!N:N,"Validé")</f>
        <v>19</v>
      </c>
      <c r="C40">
        <f>COUNTIFS(Réflecto!B:B,"BYON",Réflecto!N:N,"Validé")</f>
        <v>15</v>
      </c>
      <c r="D40">
        <f>COUNTIFS(RecetteTransport2[Entreprise],"SOGETREL",RecetteTransport2[Etat Réflecto],"Validé")</f>
        <v>2</v>
      </c>
      <c r="E40">
        <f>COUNTIFS(RecetteTransport2[Entreprise],"HERRAS",RecetteTransport2[Etat Réflecto],"Validé")</f>
        <v>1</v>
      </c>
      <c r="F40">
        <f>COUNTIFS(RecetteTransport2[Entreprise],"POLYKABEL",RecetteTransport2[Etat Réflecto],"Validé")</f>
        <v>4</v>
      </c>
      <c r="G40">
        <f>COUNTIFS(RecetteTransport2[Entreprise],"SMT",RecetteTransport2[Etat Réflecto],"Validé")</f>
        <v>12</v>
      </c>
      <c r="H40">
        <f>COUNTIFS(RecetteTransport2[Entreprise],"FUZION",RecetteTransport2[Etat Réflecto],"Validé")</f>
        <v>0</v>
      </c>
    </row>
    <row r="42" spans="1:8" x14ac:dyDescent="0.3">
      <c r="A42" s="2"/>
    </row>
    <row r="43" spans="1:8" x14ac:dyDescent="0.3">
      <c r="A43" s="2"/>
    </row>
    <row r="63" spans="1:8" x14ac:dyDescent="0.3">
      <c r="A63" t="s">
        <v>376</v>
      </c>
      <c r="B63" t="s">
        <v>21</v>
      </c>
      <c r="C63" t="s">
        <v>19</v>
      </c>
      <c r="D63" t="s">
        <v>63</v>
      </c>
      <c r="E63" t="s">
        <v>13</v>
      </c>
      <c r="F63" t="s">
        <v>20</v>
      </c>
      <c r="G63" t="s">
        <v>15</v>
      </c>
      <c r="H63" t="s">
        <v>225</v>
      </c>
    </row>
    <row r="64" spans="1:8" x14ac:dyDescent="0.3">
      <c r="A64" t="s">
        <v>444</v>
      </c>
      <c r="B64">
        <f>COUNTIFS(RecetteTransport2[Entreprise],"ASPEN",RecetteTransport2[Méca],"Fait")</f>
        <v>19</v>
      </c>
      <c r="C64">
        <f>COUNTIFS(RecetteTransport2[Entreprise],"BYON",RecetteTransport2[Méca],"Fait")</f>
        <v>16</v>
      </c>
      <c r="D64">
        <f>COUNTIFS(RecetteTransport2[Entreprise],"SOGETREL",RecetteTransport2[Méca],"Fait")</f>
        <v>0</v>
      </c>
      <c r="E64">
        <f>COUNTIFS(RecetteTransport2[Entreprise],"HERRAS",RecetteTransport2[Méca],"Fait")</f>
        <v>25</v>
      </c>
      <c r="F64">
        <f>COUNTIFS(RecetteTransport2[Entreprise],"POLYKABEL",RecetteTransport2[Méca],"Fait")</f>
        <v>0</v>
      </c>
      <c r="G64">
        <f>COUNTIFS(RecetteTransport2[Entreprise],"SMT",RecetteTransport2[Méca],"Fait")</f>
        <v>0</v>
      </c>
      <c r="H64">
        <f>COUNTIFS(RecetteTransport2[Entreprise],"FUZION",RecetteTransport2[Méca],"Fait")</f>
        <v>0</v>
      </c>
    </row>
    <row r="65" spans="1:8" x14ac:dyDescent="0.3">
      <c r="A65" t="s">
        <v>389</v>
      </c>
      <c r="B65">
        <f>COUNTIFS(RecetteTransport2[Entreprise],"ASPEN",RecetteTransport2[Etat Réflecto],"Validé",RecetteTransport2[Etat Mécanique],"Validé")</f>
        <v>0</v>
      </c>
      <c r="C65">
        <f>COUNTIFS(RecetteTransport2[Entreprise],"BYON",RecetteTransport2[Etat Réflecto],"Validé",RecetteTransport2[Etat Mécanique],"Validé")</f>
        <v>0</v>
      </c>
      <c r="D65">
        <f>COUNTIFS(RecetteTransport2[Entreprise],"SOGETREL",RecetteTransport2[Etat Réflecto],"Validé",RecetteTransport2[Etat Mécanique],"Validé")</f>
        <v>0</v>
      </c>
      <c r="E65">
        <f>COUNTIFS(RecetteTransport2[Entreprise],"HERRAS",RecetteTransport2[Etat Réflecto],"Validé",RecetteTransport2[Etat Mécanique],"Validé")</f>
        <v>0</v>
      </c>
      <c r="F65">
        <f>COUNTIFS(RecetteTransport2[Entreprise],"POLYKABEL",RecetteTransport2[Etat Réflecto],"Validé",RecetteTransport2[Etat Mécanique],"Validé")</f>
        <v>0</v>
      </c>
      <c r="G65">
        <f>COUNTIFS(RecetteTransport2[Entreprise],"SMT",RecetteTransport2[Etat Réflecto],"Validé",RecetteTransport2[Etat Mécanique],"Validé")</f>
        <v>0</v>
      </c>
      <c r="H65">
        <f>COUNTIFS(RecetteTransport2[Entreprise],"FUZION",RecetteTransport2[Etat Réflecto],"Validé",RecetteTransport2[Etat Mécanique],"Validé")</f>
        <v>0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BC621-FE3B-4DF9-82C8-3B94D79DA1B2}">
  <sheetPr codeName="Feuil4"/>
  <dimension ref="A1:BH46"/>
  <sheetViews>
    <sheetView topLeftCell="A7" workbookViewId="0">
      <selection activeCell="O33" sqref="O33"/>
    </sheetView>
  </sheetViews>
  <sheetFormatPr baseColWidth="10" defaultColWidth="10.77734375" defaultRowHeight="14.4" x14ac:dyDescent="0.3"/>
  <cols>
    <col min="6" max="8" width="4" customWidth="1"/>
    <col min="9" max="9" width="5.33203125" customWidth="1"/>
    <col min="10" max="10" width="3.88671875" style="11" customWidth="1"/>
    <col min="12" max="12" width="15.21875" bestFit="1" customWidth="1"/>
    <col min="14" max="14" width="10.77734375" style="11"/>
    <col min="20" max="21" width="10.77734375" style="45"/>
    <col min="23" max="23" width="12.21875" customWidth="1"/>
    <col min="24" max="24" width="15.21875" bestFit="1" customWidth="1"/>
    <col min="31" max="31" width="11.88671875" customWidth="1"/>
    <col min="32" max="32" width="11.77734375" customWidth="1"/>
    <col min="35" max="35" width="10.77734375" style="1"/>
    <col min="36" max="37" width="10.77734375" style="11"/>
    <col min="38" max="38" width="11.6640625" style="6" customWidth="1"/>
    <col min="39" max="39" width="10.77734375" style="11"/>
    <col min="40" max="40" width="11.6640625" customWidth="1"/>
    <col min="42" max="42" width="11.88671875" customWidth="1"/>
    <col min="44" max="44" width="10.77734375" style="11"/>
    <col min="45" max="45" width="10.77734375" style="1"/>
    <col min="46" max="46" width="10.77734375" style="6"/>
    <col min="49" max="55" width="10.77734375" style="11"/>
    <col min="60" max="60" width="10.77734375" style="6"/>
  </cols>
  <sheetData>
    <row r="1" spans="1:60" s="33" customFormat="1" x14ac:dyDescent="0.3">
      <c r="J1" s="34"/>
      <c r="M1" s="35" t="s">
        <v>12</v>
      </c>
      <c r="N1" s="34"/>
      <c r="P1" s="36"/>
      <c r="R1" s="37"/>
      <c r="W1" s="38"/>
      <c r="X1" s="38"/>
      <c r="AB1" s="37"/>
      <c r="AC1" s="37"/>
      <c r="AD1" s="37"/>
      <c r="AE1" s="34"/>
      <c r="AF1" s="34"/>
      <c r="AG1" s="38"/>
      <c r="AH1" s="34"/>
      <c r="AJ1" s="37"/>
      <c r="AL1" s="37"/>
      <c r="AM1" s="34"/>
      <c r="AO1" s="34"/>
      <c r="AP1" s="34"/>
      <c r="AQ1" s="34"/>
      <c r="AR1" s="34"/>
      <c r="AS1" s="34"/>
      <c r="AT1" s="34"/>
      <c r="AU1" s="34"/>
      <c r="AV1" s="34"/>
      <c r="AW1" s="38"/>
    </row>
    <row r="2" spans="1:60" s="33" customFormat="1" x14ac:dyDescent="0.3">
      <c r="J2" s="34"/>
      <c r="M2" s="33" t="s">
        <v>13</v>
      </c>
      <c r="N2" s="33">
        <f>COUNTIFS(RecetteTransport13[Entreprise],M2,RecetteTransport13[Activité],"Transport",RecetteTransport13[Date de fin  de Recette],"&gt; 0")</f>
        <v>0</v>
      </c>
      <c r="P2" s="36"/>
      <c r="R2" s="37"/>
      <c r="W2" s="38"/>
      <c r="X2" s="38"/>
      <c r="AB2" s="37"/>
      <c r="AC2" s="37"/>
      <c r="AD2" s="37"/>
      <c r="AE2" s="34"/>
      <c r="AF2" s="34"/>
      <c r="AG2" s="38"/>
      <c r="AH2" s="34"/>
      <c r="AJ2" s="37"/>
      <c r="AL2" s="37"/>
      <c r="AM2" s="34"/>
      <c r="AO2" s="34"/>
      <c r="AP2" s="34"/>
      <c r="AQ2" s="34"/>
      <c r="AR2" s="34"/>
      <c r="AS2" s="34"/>
      <c r="AT2" s="34"/>
      <c r="AU2" s="34"/>
      <c r="AV2" s="34"/>
      <c r="AW2" s="38"/>
    </row>
    <row r="3" spans="1:60" s="33" customFormat="1" x14ac:dyDescent="0.3">
      <c r="A3" s="39">
        <f>SUMPRODUCT(1/COUNTIF(RecetteTransport13[[#All],[DOE]],RecetteTransport13[[#All],[DOE]]))-1</f>
        <v>6.0000000000000009</v>
      </c>
      <c r="B3" s="23" t="s">
        <v>233</v>
      </c>
      <c r="J3" s="34"/>
      <c r="M3" s="33" t="s">
        <v>15</v>
      </c>
      <c r="N3" s="33">
        <f>COUNTIFS(RecetteTransport13[Entreprise],M3,RecetteTransport13[Activité],"Transport",RecetteTransport13[Date de fin  de Recette],"&gt; 0")</f>
        <v>0</v>
      </c>
      <c r="P3" s="36"/>
      <c r="R3" s="37"/>
      <c r="W3" s="38"/>
      <c r="X3" s="38"/>
      <c r="AB3" s="37"/>
      <c r="AC3" s="37"/>
      <c r="AD3" s="37"/>
      <c r="AE3" s="34"/>
      <c r="AF3" s="34"/>
      <c r="AG3" s="38"/>
      <c r="AH3" s="34"/>
      <c r="AJ3" s="37"/>
      <c r="AL3" s="37"/>
      <c r="AM3" s="34"/>
      <c r="AO3" s="34"/>
      <c r="AP3" s="34"/>
      <c r="AQ3" s="34"/>
      <c r="AR3" s="34"/>
      <c r="AS3" s="34"/>
      <c r="AT3" s="34"/>
      <c r="AU3" s="34"/>
      <c r="AV3" s="34"/>
      <c r="AW3" s="38"/>
    </row>
    <row r="4" spans="1:60" s="33" customFormat="1" x14ac:dyDescent="0.3">
      <c r="A4" s="39">
        <f>COUNTIF(RecetteTransport13[[#All],[Etat]],"En cours")</f>
        <v>26</v>
      </c>
      <c r="B4" s="39" t="s">
        <v>234</v>
      </c>
      <c r="J4" s="34"/>
      <c r="M4" s="33" t="s">
        <v>20</v>
      </c>
      <c r="N4" s="33">
        <f>COUNTIFS(RecetteTransport13[Entreprise],M4,RecetteTransport13[Activité],"Transport",RecetteTransport13[Date de fin  de Recette],"&gt; 0")</f>
        <v>2</v>
      </c>
      <c r="P4" s="36"/>
      <c r="R4" s="37"/>
      <c r="W4" s="38"/>
      <c r="X4" s="38"/>
      <c r="AB4" s="37"/>
      <c r="AC4" s="37"/>
      <c r="AD4" s="37"/>
      <c r="AE4" s="34"/>
      <c r="AF4" s="34"/>
      <c r="AG4" s="38"/>
      <c r="AH4" s="34"/>
      <c r="AJ4" s="37"/>
      <c r="AL4" s="37"/>
      <c r="AM4" s="34"/>
      <c r="AO4" s="34"/>
      <c r="AP4" s="34"/>
      <c r="AQ4" s="34"/>
      <c r="AR4" s="34"/>
      <c r="AS4" s="34"/>
      <c r="AT4" s="34"/>
      <c r="AU4" s="34"/>
      <c r="AV4" s="34"/>
      <c r="AW4" s="38"/>
    </row>
    <row r="5" spans="1:60" s="33" customFormat="1" x14ac:dyDescent="0.3">
      <c r="A5" s="39">
        <f>COUNTIF(RecetteTransport13[[#All],[Critique]],"&lt;&gt;0")-1</f>
        <v>2</v>
      </c>
      <c r="B5" s="39" t="s">
        <v>235</v>
      </c>
      <c r="J5" s="34"/>
      <c r="M5" s="33" t="s">
        <v>19</v>
      </c>
      <c r="N5" s="33">
        <f>COUNTIFS(RecetteTransport13[Entreprise],M5,RecetteTransport13[Activité],"Transport",RecetteTransport13[Date de fin  de Recette],"&gt; 0")</f>
        <v>7</v>
      </c>
      <c r="P5" s="36"/>
      <c r="R5" s="37"/>
      <c r="W5" s="38"/>
      <c r="X5" s="38"/>
      <c r="AB5" s="37"/>
      <c r="AC5" s="37"/>
      <c r="AD5" s="37"/>
      <c r="AE5" s="34"/>
      <c r="AF5" s="34"/>
      <c r="AG5" s="38"/>
      <c r="AH5" s="34"/>
      <c r="AJ5" s="37"/>
      <c r="AL5" s="37"/>
      <c r="AM5" s="34"/>
      <c r="AO5" s="34"/>
      <c r="AP5" s="34"/>
      <c r="AQ5" s="34"/>
      <c r="AR5" s="34"/>
      <c r="AS5" s="34"/>
      <c r="AT5" s="34"/>
      <c r="AU5" s="34"/>
      <c r="AV5" s="34"/>
      <c r="AW5" s="38"/>
    </row>
    <row r="6" spans="1:60" s="33" customFormat="1" x14ac:dyDescent="0.3">
      <c r="A6" s="39">
        <f>COUNTIF(RecetteTransport13[[#All],[Etat]],"En reprise")</f>
        <v>9</v>
      </c>
      <c r="B6" s="40" t="s">
        <v>236</v>
      </c>
      <c r="J6" s="34"/>
      <c r="M6" s="33" t="s">
        <v>21</v>
      </c>
      <c r="N6" s="33">
        <f>COUNTIFS(RecetteTransport13[Entreprise],M6,RecetteTransport13[Activité],"Transport",RecetteTransport13[Date de fin  de Recette],"&gt; 0")</f>
        <v>0</v>
      </c>
      <c r="P6" s="36"/>
      <c r="R6" s="37"/>
      <c r="W6" s="38"/>
      <c r="X6" s="38"/>
      <c r="AB6" s="37"/>
      <c r="AC6" s="37"/>
      <c r="AD6" s="37"/>
      <c r="AE6" s="34"/>
      <c r="AF6" s="34"/>
      <c r="AG6" s="38"/>
      <c r="AH6" s="34"/>
      <c r="AJ6" s="37"/>
      <c r="AL6" s="37"/>
      <c r="AM6" s="34"/>
      <c r="AO6" s="34"/>
      <c r="AP6" s="34"/>
      <c r="AQ6" s="34"/>
      <c r="AR6" s="34"/>
      <c r="AS6" s="34"/>
      <c r="AT6" s="34"/>
      <c r="AU6" s="34"/>
      <c r="AV6" s="34"/>
      <c r="AW6" s="38"/>
    </row>
    <row r="7" spans="1:60" s="33" customFormat="1" x14ac:dyDescent="0.3">
      <c r="A7" s="39">
        <f>COUNTIF(RecetteTransport13[[#All],[Etat]],"Terminé")</f>
        <v>0</v>
      </c>
      <c r="B7" s="40" t="s">
        <v>237</v>
      </c>
      <c r="J7" s="34"/>
      <c r="M7" s="33" t="s">
        <v>225</v>
      </c>
      <c r="N7" s="33">
        <f>COUNTIFS(RecetteTransport13[Entreprise],M7,RecetteTransport13[Activité],"Transport",RecetteTransport13[Date de fin  de Recette],"&gt; 0")</f>
        <v>0</v>
      </c>
      <c r="P7" s="36"/>
      <c r="R7" s="37"/>
      <c r="W7" s="38"/>
      <c r="X7" s="38"/>
      <c r="AB7" s="37"/>
      <c r="AC7" s="37"/>
      <c r="AD7" s="37"/>
      <c r="AE7" s="34"/>
      <c r="AF7" s="34"/>
      <c r="AG7" s="38"/>
      <c r="AH7" s="34"/>
      <c r="AJ7" s="37"/>
      <c r="AL7" s="37"/>
      <c r="AM7" s="34"/>
      <c r="AN7" s="37"/>
      <c r="AO7" s="38"/>
      <c r="AQ7" s="34"/>
      <c r="AR7" s="34"/>
      <c r="AS7" s="34"/>
      <c r="AT7" s="34"/>
      <c r="AU7" s="34"/>
      <c r="AV7" s="34"/>
      <c r="AW7" s="34"/>
      <c r="AX7" s="34"/>
      <c r="AY7" s="38"/>
    </row>
    <row r="8" spans="1:60" s="33" customFormat="1" x14ac:dyDescent="0.3">
      <c r="J8" s="34"/>
      <c r="M8" s="33" t="s">
        <v>63</v>
      </c>
      <c r="N8" s="33">
        <f>COUNTIFS(RecetteTransport13[Entreprise],M8,RecetteTransport13[Activité],"Transport",RecetteTransport13[Date de fin  de Recette],"&gt; 0")</f>
        <v>0</v>
      </c>
      <c r="P8" s="36"/>
      <c r="R8" s="37"/>
      <c r="W8" s="38"/>
      <c r="X8" s="38"/>
      <c r="AB8" s="37"/>
      <c r="AC8" s="37"/>
      <c r="AD8" s="37"/>
      <c r="AE8" s="34"/>
      <c r="AF8" s="34"/>
      <c r="AG8" s="38"/>
      <c r="AH8" s="34"/>
      <c r="AJ8" s="37"/>
      <c r="AL8" s="37"/>
      <c r="AM8" s="34"/>
      <c r="AN8" s="37"/>
      <c r="AO8" s="38"/>
      <c r="AQ8" s="34"/>
      <c r="AR8" s="34"/>
      <c r="AS8" s="34"/>
      <c r="AT8" s="34"/>
      <c r="AU8" s="34"/>
      <c r="AV8" s="34"/>
      <c r="AW8" s="34"/>
      <c r="AX8" s="34"/>
      <c r="AY8" s="38"/>
    </row>
    <row r="9" spans="1:60" s="33" customFormat="1" x14ac:dyDescent="0.3">
      <c r="J9" s="34"/>
      <c r="M9" s="34"/>
      <c r="T9" s="36"/>
      <c r="W9" s="37"/>
      <c r="AB9" s="38"/>
      <c r="AC9" s="37"/>
      <c r="AD9" s="37"/>
      <c r="AE9" s="37"/>
      <c r="AF9" s="37"/>
      <c r="AH9" s="34"/>
      <c r="AI9" s="34"/>
      <c r="AJ9" s="38"/>
      <c r="AK9" s="34"/>
      <c r="AL9" s="41"/>
      <c r="AN9" s="37"/>
      <c r="AP9" s="34"/>
      <c r="AQ9" s="37"/>
      <c r="AR9" s="38"/>
      <c r="AS9" s="37"/>
      <c r="AT9" s="34"/>
      <c r="AU9" s="34"/>
      <c r="AV9" s="34"/>
      <c r="AW9" s="34"/>
      <c r="AX9" s="34"/>
      <c r="AY9" s="34"/>
      <c r="AZ9" s="34"/>
      <c r="BA9" s="34"/>
      <c r="BB9" s="38"/>
    </row>
    <row r="10" spans="1:60" s="3" customFormat="1" ht="57" customHeight="1" x14ac:dyDescent="0.3">
      <c r="A10" s="3" t="s">
        <v>0</v>
      </c>
      <c r="B10" s="3" t="s">
        <v>1</v>
      </c>
      <c r="C10" s="3" t="s">
        <v>238</v>
      </c>
      <c r="D10" s="3" t="s">
        <v>40</v>
      </c>
      <c r="E10" s="3" t="s">
        <v>239</v>
      </c>
      <c r="F10" s="21" t="s">
        <v>27</v>
      </c>
      <c r="G10" s="21" t="s">
        <v>240</v>
      </c>
      <c r="H10" s="21" t="s">
        <v>241</v>
      </c>
      <c r="I10" s="21" t="s">
        <v>88</v>
      </c>
      <c r="J10" s="42" t="s">
        <v>78</v>
      </c>
      <c r="K10" s="20" t="s">
        <v>64</v>
      </c>
      <c r="L10" s="20" t="s">
        <v>28</v>
      </c>
      <c r="M10" s="3" t="s">
        <v>25</v>
      </c>
      <c r="N10" s="10" t="s">
        <v>26</v>
      </c>
      <c r="O10" s="3" t="s">
        <v>2</v>
      </c>
      <c r="P10" s="5" t="s">
        <v>3</v>
      </c>
      <c r="Q10" s="4" t="s">
        <v>242</v>
      </c>
      <c r="R10" s="43" t="s">
        <v>243</v>
      </c>
      <c r="S10" s="43" t="s">
        <v>244</v>
      </c>
      <c r="T10" s="43" t="s">
        <v>245</v>
      </c>
      <c r="U10" s="43" t="s">
        <v>246</v>
      </c>
      <c r="V10" s="43" t="s">
        <v>247</v>
      </c>
      <c r="W10" s="43" t="s">
        <v>248</v>
      </c>
      <c r="X10" s="12" t="s">
        <v>4</v>
      </c>
      <c r="Y10" s="9" t="s">
        <v>34</v>
      </c>
      <c r="Z10" s="9" t="s">
        <v>35</v>
      </c>
      <c r="AA10" s="12" t="s">
        <v>5</v>
      </c>
      <c r="AB10" s="12" t="s">
        <v>30</v>
      </c>
      <c r="AC10" s="13" t="s">
        <v>39</v>
      </c>
      <c r="AD10" s="14" t="s">
        <v>38</v>
      </c>
      <c r="AE10" s="14" t="s">
        <v>37</v>
      </c>
      <c r="AF10" s="16" t="s">
        <v>31</v>
      </c>
      <c r="AG10" s="10" t="s">
        <v>76</v>
      </c>
      <c r="AH10" s="7" t="s">
        <v>6</v>
      </c>
      <c r="AI10" s="10" t="s">
        <v>77</v>
      </c>
      <c r="AJ10" s="3" t="s">
        <v>7</v>
      </c>
      <c r="AK10" s="5" t="s">
        <v>8</v>
      </c>
      <c r="AL10" s="3" t="s">
        <v>9</v>
      </c>
      <c r="AM10" s="5" t="s">
        <v>10</v>
      </c>
      <c r="AN10" s="15" t="s">
        <v>66</v>
      </c>
      <c r="AO10" s="5" t="s">
        <v>67</v>
      </c>
      <c r="AP10" s="7" t="s">
        <v>80</v>
      </c>
      <c r="AQ10" s="12" t="s">
        <v>32</v>
      </c>
      <c r="AR10" s="8" t="s">
        <v>11</v>
      </c>
      <c r="AS10" s="10" t="s">
        <v>70</v>
      </c>
      <c r="AT10" s="17" t="s">
        <v>71</v>
      </c>
      <c r="AU10" s="10" t="s">
        <v>69</v>
      </c>
      <c r="AV10" s="17" t="s">
        <v>72</v>
      </c>
      <c r="AW10" s="10" t="s">
        <v>68</v>
      </c>
      <c r="AX10" s="17" t="s">
        <v>73</v>
      </c>
      <c r="AY10" s="18" t="s">
        <v>74</v>
      </c>
      <c r="AZ10" s="3" t="s">
        <v>50</v>
      </c>
      <c r="BA10" s="7" t="s">
        <v>55</v>
      </c>
      <c r="BB10" s="3" t="s">
        <v>53</v>
      </c>
      <c r="BC10" s="5" t="s">
        <v>52</v>
      </c>
      <c r="BD10" s="3" t="s">
        <v>54</v>
      </c>
      <c r="BE10" s="5" t="s">
        <v>51</v>
      </c>
      <c r="BF10" s="19" t="s">
        <v>79</v>
      </c>
    </row>
    <row r="11" spans="1:60" hidden="1" x14ac:dyDescent="0.3">
      <c r="A11" t="s">
        <v>12</v>
      </c>
      <c r="B11" t="s">
        <v>19</v>
      </c>
      <c r="C11" t="s">
        <v>249</v>
      </c>
      <c r="D11" t="s">
        <v>42</v>
      </c>
      <c r="E11" t="s">
        <v>249</v>
      </c>
      <c r="F11" s="11"/>
      <c r="G11" s="11"/>
      <c r="H11" s="11">
        <f>RecetteTransport13[[#All],[Nb de reprises restantes]]</f>
        <v>5</v>
      </c>
      <c r="I11" s="11">
        <f>RecetteTransport13[[#All],[Nb de reprises Restantes Critique]]</f>
        <v>0</v>
      </c>
      <c r="J11" s="11">
        <f>RecetteTransport13[[#All],[Nb de reprises optiques Restantes]]</f>
        <v>0</v>
      </c>
      <c r="K11" t="s">
        <v>193</v>
      </c>
      <c r="M11" s="2">
        <v>43808</v>
      </c>
      <c r="N11" s="11">
        <v>52</v>
      </c>
      <c r="O11">
        <v>9</v>
      </c>
      <c r="P11" s="2">
        <f>RecetteTransport13[[#All],[Date de demande de Recette]]+10</f>
        <v>43818</v>
      </c>
      <c r="Q11" s="2">
        <v>43845</v>
      </c>
      <c r="R11" s="44" t="s">
        <v>29</v>
      </c>
      <c r="S11" s="44" t="s">
        <v>29</v>
      </c>
      <c r="T11" s="2" t="s">
        <v>250</v>
      </c>
      <c r="U11" s="2" t="s">
        <v>250</v>
      </c>
      <c r="V11" s="2" t="s">
        <v>250</v>
      </c>
      <c r="X11">
        <v>9</v>
      </c>
      <c r="Y11" s="1">
        <f>RecetteTransport13[[#All],[Nb Objets controlés]]/RecetteTransport13[[#All],[Nb Objets Total]]</f>
        <v>0.17307692307692307</v>
      </c>
      <c r="Z11" s="1">
        <f>RecetteTransport13[[#All],[Nb Objets controlés]]/RecetteTransport13[[#All],[Nb Objets Réalisés]]</f>
        <v>1</v>
      </c>
      <c r="AA11">
        <v>9</v>
      </c>
      <c r="AB11">
        <v>7</v>
      </c>
      <c r="AC11" s="11">
        <f>RecetteTransport13[[#All],[Nb de CR]]-RecetteTransport13[[#All],[Nb de CR non conforme]]</f>
        <v>2</v>
      </c>
      <c r="AD11" s="1">
        <f>RecetteTransport13[[#All],[Nb de CR conformes]]/RecetteTransport13[[#All],[Nb de CR]]</f>
        <v>0.22222222222222221</v>
      </c>
      <c r="AE11" s="1">
        <f>RecetteTransport13[[#All],[Nb de CR non conforme]]/RecetteTransport13[[#All],[Nb de CR]]</f>
        <v>0.77777777777777779</v>
      </c>
      <c r="AF11">
        <v>134</v>
      </c>
      <c r="AG11">
        <v>5</v>
      </c>
      <c r="AH11" s="6">
        <f>RecetteTransport13[[#All],[Nb de reprises lors de l''audit]]/RecetteTransport13[[#All],[Nb de CR]]</f>
        <v>0.55555555555555558</v>
      </c>
      <c r="AI11" s="11">
        <v>5</v>
      </c>
      <c r="AJ11">
        <v>3</v>
      </c>
      <c r="AK11" s="1">
        <f>RecetteTransport13[[#All],[ Nb Reprise Mineur]]/RecetteTransport13[[#All],[Nb de reprises total]]</f>
        <v>0.6</v>
      </c>
      <c r="AL11">
        <v>2</v>
      </c>
      <c r="AM11" s="1">
        <f>RecetteTransport13[[#All],[Nb Reprise Majeur]]/RecetteTransport13[[#All],[Nb de reprises total]]</f>
        <v>0.4</v>
      </c>
      <c r="AN11" s="11"/>
      <c r="AO11" s="1">
        <f>RecetteTransport13[[#All],[Nb de reprises critique]]/RecetteTransport13[[#All],[Nb de reprises total]]</f>
        <v>0</v>
      </c>
      <c r="AP11" s="6">
        <f>RecetteTransport13[[#All],[Nb de reprises critique]]/RecetteTransport13[[#All],[Nb de reprises total]]</f>
        <v>0</v>
      </c>
      <c r="AT11" s="11">
        <f>RecetteTransport13[[#All],[ Nb Reprise Mineur]]-RecetteTransport13[[#All],[Nb de reprises validées Mineur]]</f>
        <v>3</v>
      </c>
      <c r="AU11" s="11"/>
      <c r="AV11" s="11">
        <f>RecetteTransport13[[#This Row],[Nb Reprise Majeur]]-RecetteTransport13[[#This Row],[Nb de reprises validées Majeur]]</f>
        <v>2</v>
      </c>
      <c r="AX11" s="11">
        <f>RecetteTransport13[[#All],[Nb de reprises critique]]-RecetteTransport13[[#All],[Nb de reprises validées Critique]]</f>
        <v>0</v>
      </c>
      <c r="AY11" s="11">
        <f>RecetteTransport13[[#All],[Nb de reprises Restantes Mineur]]+RecetteTransport13[[#All],[Nb de reprises Restantes Majeur]]+RecetteTransport13[[#All],[Nb de reprises Restantes Critique]]</f>
        <v>5</v>
      </c>
      <c r="AZ11"/>
      <c r="BA11" s="6">
        <f>RecetteTransport13[[#All],[Nb de reprises Optiques]]/RecetteTransport13[[#All],[Nb de CR]]</f>
        <v>0</v>
      </c>
      <c r="BB11"/>
      <c r="BC11"/>
      <c r="BD11" s="6"/>
      <c r="BF11" s="6">
        <f>RecetteTransport13[[#This Row],[Nb de reprises Optiques]]-RecetteTransport13[[#This Row],[Nb de reprises Optiques validées]]</f>
        <v>0</v>
      </c>
    </row>
    <row r="12" spans="1:60" hidden="1" x14ac:dyDescent="0.3">
      <c r="A12" t="s">
        <v>12</v>
      </c>
      <c r="B12" t="s">
        <v>19</v>
      </c>
      <c r="C12" t="s">
        <v>249</v>
      </c>
      <c r="D12" t="s">
        <v>42</v>
      </c>
      <c r="E12" t="s">
        <v>22</v>
      </c>
      <c r="F12" s="11"/>
      <c r="G12" s="11"/>
      <c r="H12" s="11">
        <f>RecetteTransport13[[#All],[Nb de reprises restantes]]</f>
        <v>0</v>
      </c>
      <c r="I12" s="11">
        <f>RecetteTransport13[[#All],[Nb de reprises Restantes Critique]]</f>
        <v>0</v>
      </c>
      <c r="J12" s="11">
        <f>RecetteTransport13[[#All],[Nb de reprises optiques Restantes]]</f>
        <v>4</v>
      </c>
      <c r="K12" t="s">
        <v>193</v>
      </c>
      <c r="L12" t="s">
        <v>251</v>
      </c>
      <c r="M12" s="2">
        <v>43808</v>
      </c>
      <c r="N12" s="11">
        <v>1</v>
      </c>
      <c r="O12">
        <v>1</v>
      </c>
      <c r="P12" s="2">
        <f>RecetteTransport13[[#All],[Date de demande de Recette]]+10</f>
        <v>43818</v>
      </c>
      <c r="Q12" s="2">
        <v>43866</v>
      </c>
      <c r="R12" s="44" t="s">
        <v>29</v>
      </c>
      <c r="S12" s="44" t="s">
        <v>29</v>
      </c>
      <c r="T12" s="2" t="s">
        <v>250</v>
      </c>
      <c r="U12" s="2" t="s">
        <v>250</v>
      </c>
      <c r="V12" s="2" t="s">
        <v>250</v>
      </c>
      <c r="W12" s="2"/>
      <c r="X12">
        <v>1</v>
      </c>
      <c r="Y12" s="1">
        <f>RecetteTransport13[[#All],[Nb Objets controlés]]/RecetteTransport13[[#All],[Nb Objets Total]]</f>
        <v>1</v>
      </c>
      <c r="Z12" s="1">
        <f>RecetteTransport13[[#All],[Nb Objets controlés]]/RecetteTransport13[[#All],[Nb Objets Réalisés]]</f>
        <v>1</v>
      </c>
      <c r="AA12">
        <v>1</v>
      </c>
      <c r="AB12">
        <v>0</v>
      </c>
      <c r="AC12" s="11">
        <f>RecetteTransport13[[#All],[Nb de CR]]-RecetteTransport13[[#All],[Nb de CR non conforme]]</f>
        <v>1</v>
      </c>
      <c r="AD12" s="1">
        <f>RecetteTransport13[[#All],[Nb de CR conformes]]/RecetteTransport13[[#All],[Nb de CR]]</f>
        <v>1</v>
      </c>
      <c r="AE12" s="1">
        <f>RecetteTransport13[[#All],[Nb de CR non conforme]]/RecetteTransport13[[#All],[Nb de CR]]</f>
        <v>0</v>
      </c>
      <c r="AF12" s="11"/>
      <c r="AG12" s="11">
        <v>0</v>
      </c>
      <c r="AH12" s="6">
        <f>RecetteTransport13[[#All],[Nb de reprises lors de l''audit]]/RecetteTransport13[[#All],[Nb de CR]]</f>
        <v>0</v>
      </c>
      <c r="AI12" s="11">
        <v>0</v>
      </c>
      <c r="AJ12"/>
      <c r="AK12" s="1" t="e">
        <f>RecetteTransport13[[#All],[ Nb Reprise Mineur]]/RecetteTransport13[[#All],[Nb de reprises total]]</f>
        <v>#DIV/0!</v>
      </c>
      <c r="AL12"/>
      <c r="AM12" s="1" t="e">
        <f>RecetteTransport13[[#All],[Nb Reprise Majeur]]/RecetteTransport13[[#All],[Nb de reprises total]]</f>
        <v>#DIV/0!</v>
      </c>
      <c r="AN12" s="11"/>
      <c r="AO12" s="1" t="e">
        <f>RecetteTransport13[[#All],[Nb de reprises critique]]/RecetteTransport13[[#All],[Nb de reprises total]]</f>
        <v>#DIV/0!</v>
      </c>
      <c r="AP12" s="6" t="e">
        <f>RecetteTransport13[[#All],[Nb de reprises critique]]/RecetteTransport13[[#All],[Nb de reprises total]]</f>
        <v>#DIV/0!</v>
      </c>
      <c r="AQ12" s="1"/>
      <c r="AR12" s="2">
        <v>43866</v>
      </c>
      <c r="AS12" s="11"/>
      <c r="AT12" s="11">
        <f>RecetteTransport13[[#All],[ Nb Reprise Mineur]]-RecetteTransport13[[#All],[Nb de reprises validées Mineur]]</f>
        <v>0</v>
      </c>
      <c r="AU12" s="11"/>
      <c r="AV12" s="11">
        <f>RecetteTransport13[[#This Row],[Nb Reprise Majeur]]-RecetteTransport13[[#This Row],[Nb de reprises validées Majeur]]</f>
        <v>0</v>
      </c>
      <c r="AX12" s="11">
        <f>RecetteTransport13[[#All],[Nb de reprises critique]]-RecetteTransport13[[#All],[Nb de reprises validées Critique]]</f>
        <v>0</v>
      </c>
      <c r="AY12" s="11">
        <f>RecetteTransport13[[#All],[Nb de reprises Restantes Mineur]]+RecetteTransport13[[#All],[Nb de reprises Restantes Majeur]]+RecetteTransport13[[#All],[Nb de reprises Restantes Critique]]</f>
        <v>0</v>
      </c>
      <c r="AZ12">
        <v>4</v>
      </c>
      <c r="BA12" s="6">
        <f>RecetteTransport13[[#All],[Nb de reprises Optiques]]/RecetteTransport13[[#All],[Nb de CR]]</f>
        <v>4</v>
      </c>
      <c r="BB12"/>
      <c r="BC12"/>
      <c r="BD12" s="6"/>
      <c r="BF12" s="6">
        <f>RecetteTransport13[[#This Row],[Nb de reprises Optiques]]-RecetteTransport13[[#This Row],[Nb de reprises Optiques validées]]</f>
        <v>4</v>
      </c>
      <c r="BH12"/>
    </row>
    <row r="13" spans="1:60" hidden="1" x14ac:dyDescent="0.3">
      <c r="A13" t="s">
        <v>12</v>
      </c>
      <c r="B13" t="s">
        <v>19</v>
      </c>
      <c r="C13" t="s">
        <v>249</v>
      </c>
      <c r="D13" t="s">
        <v>42</v>
      </c>
      <c r="E13" t="s">
        <v>47</v>
      </c>
      <c r="F13" s="11"/>
      <c r="G13" s="11"/>
      <c r="H13" s="11">
        <f>RecetteTransport13[[#All],[Nb de reprises restantes]]</f>
        <v>0</v>
      </c>
      <c r="I13" s="11">
        <f>RecetteTransport13[[#All],[Nb de reprises Restantes Critique]]</f>
        <v>0</v>
      </c>
      <c r="J13" s="11">
        <f>RecetteTransport13[[#All],[Nb de reprises optiques Restantes]]</f>
        <v>24</v>
      </c>
      <c r="K13" t="s">
        <v>193</v>
      </c>
      <c r="L13" t="s">
        <v>251</v>
      </c>
      <c r="M13" s="2">
        <v>43808</v>
      </c>
      <c r="N13" s="11">
        <v>1</v>
      </c>
      <c r="O13">
        <v>1</v>
      </c>
      <c r="P13" s="2">
        <f>RecetteTransport13[[#All],[Date de demande de Recette]]+10</f>
        <v>43818</v>
      </c>
      <c r="Q13" s="2">
        <v>43872</v>
      </c>
      <c r="R13" s="44" t="s">
        <v>29</v>
      </c>
      <c r="S13" s="44" t="s">
        <v>29</v>
      </c>
      <c r="T13" s="2" t="s">
        <v>250</v>
      </c>
      <c r="U13" s="2" t="s">
        <v>250</v>
      </c>
      <c r="V13" s="2" t="s">
        <v>250</v>
      </c>
      <c r="W13" s="2"/>
      <c r="Y13" s="1">
        <f>RecetteTransport13[[#All],[Nb Objets controlés]]/RecetteTransport13[[#All],[Nb Objets Total]]</f>
        <v>0</v>
      </c>
      <c r="Z13" s="1">
        <f>RecetteTransport13[[#All],[Nb Objets controlés]]/RecetteTransport13[[#All],[Nb Objets Réalisés]]</f>
        <v>0</v>
      </c>
      <c r="AA13">
        <v>1</v>
      </c>
      <c r="AB13">
        <v>0</v>
      </c>
      <c r="AC13" s="11">
        <f>RecetteTransport13[[#All],[Nb de CR]]-RecetteTransport13[[#All],[Nb de CR non conforme]]</f>
        <v>1</v>
      </c>
      <c r="AD13" s="1">
        <f>RecetteTransport13[[#All],[Nb de CR conformes]]/RecetteTransport13[[#All],[Nb de CR]]</f>
        <v>1</v>
      </c>
      <c r="AE13" s="1">
        <f>RecetteTransport13[[#All],[Nb de CR non conforme]]/RecetteTransport13[[#All],[Nb de CR]]</f>
        <v>0</v>
      </c>
      <c r="AF13" s="11"/>
      <c r="AG13" s="11">
        <v>0</v>
      </c>
      <c r="AH13" s="6">
        <f>RecetteTransport13[[#All],[Nb de reprises lors de l''audit]]/RecetteTransport13[[#All],[Nb de CR]]</f>
        <v>0</v>
      </c>
      <c r="AI13" s="11">
        <v>0</v>
      </c>
      <c r="AJ13"/>
      <c r="AK13" s="1" t="e">
        <f>RecetteTransport13[[#All],[ Nb Reprise Mineur]]/RecetteTransport13[[#All],[Nb de reprises total]]</f>
        <v>#DIV/0!</v>
      </c>
      <c r="AL13"/>
      <c r="AM13" s="1" t="e">
        <f>RecetteTransport13[[#All],[Nb Reprise Majeur]]/RecetteTransport13[[#All],[Nb de reprises total]]</f>
        <v>#DIV/0!</v>
      </c>
      <c r="AN13" s="11"/>
      <c r="AO13" s="1" t="e">
        <f>RecetteTransport13[[#All],[Nb de reprises critique]]/RecetteTransport13[[#All],[Nb de reprises total]]</f>
        <v>#DIV/0!</v>
      </c>
      <c r="AP13" s="6" t="e">
        <f>RecetteTransport13[[#All],[Nb de reprises critique]]/RecetteTransport13[[#All],[Nb de reprises total]]</f>
        <v>#DIV/0!</v>
      </c>
      <c r="AQ13" s="1"/>
      <c r="AR13" s="2">
        <v>43872</v>
      </c>
      <c r="AS13" s="11"/>
      <c r="AT13" s="11">
        <f>RecetteTransport13[[#All],[ Nb Reprise Mineur]]-RecetteTransport13[[#All],[Nb de reprises validées Mineur]]</f>
        <v>0</v>
      </c>
      <c r="AU13" s="11"/>
      <c r="AV13" s="11">
        <f>RecetteTransport13[[#This Row],[Nb Reprise Majeur]]-RecetteTransport13[[#This Row],[Nb de reprises validées Majeur]]</f>
        <v>0</v>
      </c>
      <c r="AX13" s="11">
        <f>RecetteTransport13[[#All],[Nb de reprises critique]]-RecetteTransport13[[#All],[Nb de reprises validées Critique]]</f>
        <v>0</v>
      </c>
      <c r="AY13" s="11">
        <f>RecetteTransport13[[#All],[Nb de reprises Restantes Mineur]]+RecetteTransport13[[#All],[Nb de reprises Restantes Majeur]]+RecetteTransport13[[#All],[Nb de reprises Restantes Critique]]</f>
        <v>0</v>
      </c>
      <c r="AZ13">
        <v>24</v>
      </c>
      <c r="BA13" s="6">
        <f>RecetteTransport13[[#All],[Nb de reprises Optiques]]/RecetteTransport13[[#All],[Nb de CR]]</f>
        <v>24</v>
      </c>
      <c r="BB13"/>
      <c r="BC13"/>
      <c r="BD13" s="6"/>
      <c r="BF13" s="6">
        <f>RecetteTransport13[[#This Row],[Nb de reprises Optiques]]-RecetteTransport13[[#This Row],[Nb de reprises Optiques validées]]</f>
        <v>24</v>
      </c>
      <c r="BH13"/>
    </row>
    <row r="14" spans="1:60" hidden="1" x14ac:dyDescent="0.3">
      <c r="A14" t="s">
        <v>12</v>
      </c>
      <c r="B14" t="s">
        <v>19</v>
      </c>
      <c r="C14" t="s">
        <v>249</v>
      </c>
      <c r="D14" t="s">
        <v>42</v>
      </c>
      <c r="E14" t="s">
        <v>82</v>
      </c>
      <c r="F14" s="11"/>
      <c r="G14" s="11"/>
      <c r="H14" s="11">
        <f>RecetteTransport13[[#All],[Nb de reprises restantes]]</f>
        <v>0</v>
      </c>
      <c r="I14" s="11">
        <f>RecetteTransport13[[#All],[Nb de reprises Restantes Critique]]</f>
        <v>0</v>
      </c>
      <c r="J14" s="11">
        <f>RecetteTransport13[[#All],[Nb de reprises optiques Restantes]]</f>
        <v>18</v>
      </c>
      <c r="K14" t="s">
        <v>193</v>
      </c>
      <c r="L14" t="s">
        <v>251</v>
      </c>
      <c r="M14" s="2">
        <v>43808</v>
      </c>
      <c r="N14" s="11">
        <v>1</v>
      </c>
      <c r="O14">
        <v>1</v>
      </c>
      <c r="P14" s="2">
        <f>RecetteTransport13[[#All],[Date de demande de Recette]]+10</f>
        <v>43818</v>
      </c>
      <c r="Q14" s="2">
        <v>43872</v>
      </c>
      <c r="R14" s="44" t="s">
        <v>29</v>
      </c>
      <c r="S14" s="44" t="s">
        <v>29</v>
      </c>
      <c r="T14" s="2" t="s">
        <v>250</v>
      </c>
      <c r="U14" s="2" t="s">
        <v>250</v>
      </c>
      <c r="V14" s="2" t="s">
        <v>250</v>
      </c>
      <c r="W14" s="2"/>
      <c r="Y14" s="1">
        <f>RecetteTransport13[[#All],[Nb Objets controlés]]/RecetteTransport13[[#All],[Nb Objets Total]]</f>
        <v>0</v>
      </c>
      <c r="Z14" s="1">
        <f>RecetteTransport13[[#All],[Nb Objets controlés]]/RecetteTransport13[[#All],[Nb Objets Réalisés]]</f>
        <v>0</v>
      </c>
      <c r="AA14">
        <v>1</v>
      </c>
      <c r="AB14">
        <v>0</v>
      </c>
      <c r="AC14" s="11">
        <f>RecetteTransport13[[#All],[Nb de CR]]-RecetteTransport13[[#All],[Nb de CR non conforme]]</f>
        <v>1</v>
      </c>
      <c r="AD14" s="1">
        <f>RecetteTransport13[[#All],[Nb de CR conformes]]/RecetteTransport13[[#All],[Nb de CR]]</f>
        <v>1</v>
      </c>
      <c r="AE14" s="1">
        <f>RecetteTransport13[[#All],[Nb de CR non conforme]]/RecetteTransport13[[#All],[Nb de CR]]</f>
        <v>0</v>
      </c>
      <c r="AF14" s="11"/>
      <c r="AG14" s="11">
        <v>0</v>
      </c>
      <c r="AH14" s="6">
        <f>RecetteTransport13[[#All],[Nb de reprises lors de l''audit]]/RecetteTransport13[[#All],[Nb de CR]]</f>
        <v>0</v>
      </c>
      <c r="AI14" s="11">
        <v>0</v>
      </c>
      <c r="AJ14"/>
      <c r="AK14" s="1" t="e">
        <f>RecetteTransport13[[#All],[ Nb Reprise Mineur]]/RecetteTransport13[[#All],[Nb de reprises total]]</f>
        <v>#DIV/0!</v>
      </c>
      <c r="AL14"/>
      <c r="AM14" s="1" t="e">
        <f>RecetteTransport13[[#All],[Nb Reprise Majeur]]/RecetteTransport13[[#All],[Nb de reprises total]]</f>
        <v>#DIV/0!</v>
      </c>
      <c r="AN14" s="11"/>
      <c r="AO14" s="1" t="e">
        <f>RecetteTransport13[[#All],[Nb de reprises critique]]/RecetteTransport13[[#All],[Nb de reprises total]]</f>
        <v>#DIV/0!</v>
      </c>
      <c r="AP14" s="6" t="e">
        <f>RecetteTransport13[[#All],[Nb de reprises critique]]/RecetteTransport13[[#All],[Nb de reprises total]]</f>
        <v>#DIV/0!</v>
      </c>
      <c r="AQ14" s="1"/>
      <c r="AR14" s="2">
        <v>43872</v>
      </c>
      <c r="AS14" s="11"/>
      <c r="AT14" s="11">
        <f>RecetteTransport13[[#All],[ Nb Reprise Mineur]]-RecetteTransport13[[#All],[Nb de reprises validées Mineur]]</f>
        <v>0</v>
      </c>
      <c r="AU14" s="11"/>
      <c r="AV14" s="11">
        <f>RecetteTransport13[[#This Row],[Nb Reprise Majeur]]-RecetteTransport13[[#This Row],[Nb de reprises validées Majeur]]</f>
        <v>0</v>
      </c>
      <c r="AX14" s="11">
        <f>RecetteTransport13[[#All],[Nb de reprises critique]]-RecetteTransport13[[#All],[Nb de reprises validées Critique]]</f>
        <v>0</v>
      </c>
      <c r="AY14" s="11">
        <f>RecetteTransport13[[#All],[Nb de reprises Restantes Mineur]]+RecetteTransport13[[#All],[Nb de reprises Restantes Majeur]]+RecetteTransport13[[#All],[Nb de reprises Restantes Critique]]</f>
        <v>0</v>
      </c>
      <c r="AZ14">
        <v>18</v>
      </c>
      <c r="BA14" s="6">
        <f>RecetteTransport13[[#All],[Nb de reprises Optiques]]/RecetteTransport13[[#All],[Nb de CR]]</f>
        <v>18</v>
      </c>
      <c r="BB14"/>
      <c r="BC14"/>
      <c r="BD14" s="6"/>
      <c r="BF14" s="6">
        <f>RecetteTransport13[[#This Row],[Nb de reprises Optiques]]-RecetteTransport13[[#This Row],[Nb de reprises Optiques validées]]</f>
        <v>18</v>
      </c>
      <c r="BH14"/>
    </row>
    <row r="15" spans="1:60" hidden="1" x14ac:dyDescent="0.3">
      <c r="A15" t="s">
        <v>12</v>
      </c>
      <c r="B15" t="s">
        <v>19</v>
      </c>
      <c r="C15" t="s">
        <v>249</v>
      </c>
      <c r="D15" t="s">
        <v>42</v>
      </c>
      <c r="E15" t="s">
        <v>59</v>
      </c>
      <c r="F15" s="11"/>
      <c r="G15" s="11"/>
      <c r="H15" s="11">
        <f>RecetteTransport13[[#All],[Nb de reprises restantes]]</f>
        <v>0</v>
      </c>
      <c r="I15" s="11">
        <f>RecetteTransport13[[#All],[Nb de reprises Restantes Critique]]</f>
        <v>0</v>
      </c>
      <c r="J15" s="11">
        <f>RecetteTransport13[[#All],[Nb de reprises optiques Restantes]]</f>
        <v>16</v>
      </c>
      <c r="K15" t="s">
        <v>193</v>
      </c>
      <c r="L15" t="s">
        <v>251</v>
      </c>
      <c r="M15" s="2">
        <v>43808</v>
      </c>
      <c r="N15" s="11">
        <v>1</v>
      </c>
      <c r="O15">
        <v>1</v>
      </c>
      <c r="P15" s="2">
        <f>RecetteTransport13[[#All],[Date de demande de Recette]]+10</f>
        <v>43818</v>
      </c>
      <c r="Q15" s="2">
        <v>43872</v>
      </c>
      <c r="R15" s="44" t="s">
        <v>29</v>
      </c>
      <c r="S15" s="44" t="s">
        <v>29</v>
      </c>
      <c r="T15" s="2" t="s">
        <v>250</v>
      </c>
      <c r="U15" s="2" t="s">
        <v>250</v>
      </c>
      <c r="V15" s="2" t="s">
        <v>250</v>
      </c>
      <c r="W15" s="2"/>
      <c r="Y15" s="1">
        <f>RecetteTransport13[[#All],[Nb Objets controlés]]/RecetteTransport13[[#All],[Nb Objets Total]]</f>
        <v>0</v>
      </c>
      <c r="Z15" s="1">
        <f>RecetteTransport13[[#All],[Nb Objets controlés]]/RecetteTransport13[[#All],[Nb Objets Réalisés]]</f>
        <v>0</v>
      </c>
      <c r="AA15">
        <v>1</v>
      </c>
      <c r="AB15">
        <v>0</v>
      </c>
      <c r="AC15" s="11">
        <f>RecetteTransport13[[#All],[Nb de CR]]-RecetteTransport13[[#All],[Nb de CR non conforme]]</f>
        <v>1</v>
      </c>
      <c r="AD15" s="1">
        <f>RecetteTransport13[[#All],[Nb de CR conformes]]/RecetteTransport13[[#All],[Nb de CR]]</f>
        <v>1</v>
      </c>
      <c r="AE15" s="1">
        <f>RecetteTransport13[[#All],[Nb de CR non conforme]]/RecetteTransport13[[#All],[Nb de CR]]</f>
        <v>0</v>
      </c>
      <c r="AF15" s="11"/>
      <c r="AG15" s="11">
        <v>0</v>
      </c>
      <c r="AH15" s="6">
        <f>RecetteTransport13[[#All],[Nb de reprises lors de l''audit]]/RecetteTransport13[[#All],[Nb de CR]]</f>
        <v>0</v>
      </c>
      <c r="AI15" s="11">
        <v>0</v>
      </c>
      <c r="AJ15"/>
      <c r="AK15" s="1" t="e">
        <f>RecetteTransport13[[#All],[ Nb Reprise Mineur]]/RecetteTransport13[[#All],[Nb de reprises total]]</f>
        <v>#DIV/0!</v>
      </c>
      <c r="AL15"/>
      <c r="AM15" s="1" t="e">
        <f>RecetteTransport13[[#All],[Nb Reprise Majeur]]/RecetteTransport13[[#All],[Nb de reprises total]]</f>
        <v>#DIV/0!</v>
      </c>
      <c r="AN15" s="11"/>
      <c r="AO15" s="1" t="e">
        <f>RecetteTransport13[[#All],[Nb de reprises critique]]/RecetteTransport13[[#All],[Nb de reprises total]]</f>
        <v>#DIV/0!</v>
      </c>
      <c r="AP15" s="6" t="e">
        <f>RecetteTransport13[[#All],[Nb de reprises critique]]/RecetteTransport13[[#All],[Nb de reprises total]]</f>
        <v>#DIV/0!</v>
      </c>
      <c r="AQ15" s="1"/>
      <c r="AR15" s="2">
        <v>43872</v>
      </c>
      <c r="AS15" s="11"/>
      <c r="AT15" s="11">
        <f>RecetteTransport13[[#All],[ Nb Reprise Mineur]]-RecetteTransport13[[#All],[Nb de reprises validées Mineur]]</f>
        <v>0</v>
      </c>
      <c r="AU15" s="11"/>
      <c r="AV15" s="11">
        <f>RecetteTransport13[[#This Row],[Nb Reprise Majeur]]-RecetteTransport13[[#This Row],[Nb de reprises validées Majeur]]</f>
        <v>0</v>
      </c>
      <c r="AX15" s="11">
        <f>RecetteTransport13[[#All],[Nb de reprises critique]]-RecetteTransport13[[#All],[Nb de reprises validées Critique]]</f>
        <v>0</v>
      </c>
      <c r="AY15" s="11">
        <f>RecetteTransport13[[#All],[Nb de reprises Restantes Mineur]]+RecetteTransport13[[#All],[Nb de reprises Restantes Majeur]]+RecetteTransport13[[#All],[Nb de reprises Restantes Critique]]</f>
        <v>0</v>
      </c>
      <c r="AZ15">
        <v>16</v>
      </c>
      <c r="BA15" s="6">
        <f>RecetteTransport13[[#All],[Nb de reprises Optiques]]/RecetteTransport13[[#All],[Nb de CR]]</f>
        <v>16</v>
      </c>
      <c r="BB15"/>
      <c r="BC15"/>
      <c r="BD15" s="6"/>
      <c r="BF15" s="6">
        <f>RecetteTransport13[[#This Row],[Nb de reprises Optiques]]-RecetteTransport13[[#This Row],[Nb de reprises Optiques validées]]</f>
        <v>16</v>
      </c>
      <c r="BH15"/>
    </row>
    <row r="16" spans="1:60" hidden="1" x14ac:dyDescent="0.3">
      <c r="A16" t="s">
        <v>12</v>
      </c>
      <c r="B16" t="s">
        <v>19</v>
      </c>
      <c r="C16" t="s">
        <v>249</v>
      </c>
      <c r="D16" t="s">
        <v>42</v>
      </c>
      <c r="E16" t="s">
        <v>62</v>
      </c>
      <c r="F16" s="11"/>
      <c r="G16" s="11"/>
      <c r="H16" s="11">
        <f>RecetteTransport13[[#All],[Nb de reprises restantes]]</f>
        <v>1</v>
      </c>
      <c r="I16" s="11">
        <f>RecetteTransport13[[#All],[Nb de reprises Restantes Critique]]</f>
        <v>0</v>
      </c>
      <c r="J16" s="11">
        <f>RecetteTransport13[[#All],[Nb de reprises optiques Restantes]]</f>
        <v>0</v>
      </c>
      <c r="K16" t="s">
        <v>193</v>
      </c>
      <c r="L16" t="s">
        <v>251</v>
      </c>
      <c r="M16" s="2">
        <v>43808</v>
      </c>
      <c r="N16" s="11">
        <v>1</v>
      </c>
      <c r="O16">
        <v>1</v>
      </c>
      <c r="P16" s="2">
        <f>RecetteTransport13[[#All],[Date de demande de Recette]]+10</f>
        <v>43818</v>
      </c>
      <c r="Q16" s="2">
        <v>43872</v>
      </c>
      <c r="R16" s="44" t="s">
        <v>29</v>
      </c>
      <c r="S16" s="44" t="s">
        <v>29</v>
      </c>
      <c r="T16" s="2" t="s">
        <v>250</v>
      </c>
      <c r="U16" s="2" t="s">
        <v>250</v>
      </c>
      <c r="V16" s="2" t="s">
        <v>250</v>
      </c>
      <c r="W16" s="2"/>
      <c r="Y16" s="1">
        <f>RecetteTransport13[[#All],[Nb Objets controlés]]/RecetteTransport13[[#All],[Nb Objets Total]]</f>
        <v>0</v>
      </c>
      <c r="Z16" s="1">
        <f>RecetteTransport13[[#All],[Nb Objets controlés]]/RecetteTransport13[[#All],[Nb Objets Réalisés]]</f>
        <v>0</v>
      </c>
      <c r="AA16">
        <v>1</v>
      </c>
      <c r="AB16">
        <v>1</v>
      </c>
      <c r="AC16" s="11">
        <f>RecetteTransport13[[#All],[Nb de CR]]-RecetteTransport13[[#All],[Nb de CR non conforme]]</f>
        <v>0</v>
      </c>
      <c r="AD16" s="1">
        <f>RecetteTransport13[[#All],[Nb de CR conformes]]/RecetteTransport13[[#All],[Nb de CR]]</f>
        <v>0</v>
      </c>
      <c r="AE16" s="1">
        <f>RecetteTransport13[[#All],[Nb de CR non conforme]]/RecetteTransport13[[#All],[Nb de CR]]</f>
        <v>1</v>
      </c>
      <c r="AF16" s="11"/>
      <c r="AG16" s="11">
        <v>1</v>
      </c>
      <c r="AH16" s="6">
        <f>RecetteTransport13[[#All],[Nb de reprises lors de l''audit]]/RecetteTransport13[[#All],[Nb de CR]]</f>
        <v>1</v>
      </c>
      <c r="AI16" s="11">
        <v>1</v>
      </c>
      <c r="AJ16">
        <v>1</v>
      </c>
      <c r="AK16" s="1">
        <f>RecetteTransport13[[#All],[ Nb Reprise Mineur]]/RecetteTransport13[[#All],[Nb de reprises total]]</f>
        <v>1</v>
      </c>
      <c r="AL16"/>
      <c r="AM16" s="1">
        <f>RecetteTransport13[[#All],[Nb Reprise Majeur]]/RecetteTransport13[[#All],[Nb de reprises total]]</f>
        <v>0</v>
      </c>
      <c r="AN16" s="11"/>
      <c r="AO16" s="1">
        <f>RecetteTransport13[[#All],[Nb de reprises critique]]/RecetteTransport13[[#All],[Nb de reprises total]]</f>
        <v>0</v>
      </c>
      <c r="AP16" s="6">
        <f>RecetteTransport13[[#All],[Nb de reprises critique]]/RecetteTransport13[[#All],[Nb de reprises total]]</f>
        <v>0</v>
      </c>
      <c r="AQ16" s="1"/>
      <c r="AR16" s="2"/>
      <c r="AS16" s="11"/>
      <c r="AT16" s="11">
        <f>RecetteTransport13[[#All],[ Nb Reprise Mineur]]-RecetteTransport13[[#All],[Nb de reprises validées Mineur]]</f>
        <v>1</v>
      </c>
      <c r="AU16" s="11"/>
      <c r="AV16" s="11">
        <f>RecetteTransport13[[#This Row],[Nb Reprise Majeur]]-RecetteTransport13[[#This Row],[Nb de reprises validées Majeur]]</f>
        <v>0</v>
      </c>
      <c r="AX16" s="11">
        <f>RecetteTransport13[[#All],[Nb de reprises critique]]-RecetteTransport13[[#All],[Nb de reprises validées Critique]]</f>
        <v>0</v>
      </c>
      <c r="AY16" s="11">
        <f>RecetteTransport13[[#All],[Nb de reprises Restantes Mineur]]+RecetteTransport13[[#All],[Nb de reprises Restantes Majeur]]+RecetteTransport13[[#All],[Nb de reprises Restantes Critique]]</f>
        <v>1</v>
      </c>
      <c r="AZ16">
        <v>0</v>
      </c>
      <c r="BA16" s="6">
        <f>RecetteTransport13[[#All],[Nb de reprises Optiques]]/RecetteTransport13[[#All],[Nb de CR]]</f>
        <v>0</v>
      </c>
      <c r="BB16"/>
      <c r="BC16"/>
      <c r="BD16" s="6"/>
      <c r="BF16" s="6">
        <f>RecetteTransport13[[#This Row],[Nb de reprises Optiques]]-RecetteTransport13[[#This Row],[Nb de reprises Optiques validées]]</f>
        <v>0</v>
      </c>
      <c r="BH16"/>
    </row>
    <row r="17" spans="1:60" hidden="1" x14ac:dyDescent="0.3">
      <c r="A17" t="s">
        <v>12</v>
      </c>
      <c r="B17" t="s">
        <v>19</v>
      </c>
      <c r="C17" t="s">
        <v>249</v>
      </c>
      <c r="D17" t="s">
        <v>42</v>
      </c>
      <c r="E17" t="s">
        <v>91</v>
      </c>
      <c r="F17" s="11"/>
      <c r="G17" s="11"/>
      <c r="H17" s="11">
        <f>RecetteTransport13[[#All],[Nb de reprises restantes]]</f>
        <v>0</v>
      </c>
      <c r="I17" s="11">
        <f>RecetteTransport13[[#All],[Nb de reprises Restantes Critique]]</f>
        <v>0</v>
      </c>
      <c r="J17" s="11">
        <f>RecetteTransport13[[#All],[Nb de reprises optiques Restantes]]</f>
        <v>14</v>
      </c>
      <c r="K17" t="s">
        <v>193</v>
      </c>
      <c r="L17" t="s">
        <v>251</v>
      </c>
      <c r="M17" s="2">
        <v>43808</v>
      </c>
      <c r="N17" s="11">
        <v>1</v>
      </c>
      <c r="O17">
        <v>1</v>
      </c>
      <c r="P17" s="2">
        <f>RecetteTransport13[[#All],[Date de demande de Recette]]+10</f>
        <v>43818</v>
      </c>
      <c r="Q17" s="2">
        <v>43872</v>
      </c>
      <c r="R17" s="44" t="s">
        <v>29</v>
      </c>
      <c r="S17" s="44" t="s">
        <v>29</v>
      </c>
      <c r="T17" s="2" t="s">
        <v>250</v>
      </c>
      <c r="U17" s="2" t="s">
        <v>250</v>
      </c>
      <c r="V17" s="2" t="s">
        <v>250</v>
      </c>
      <c r="W17" s="2"/>
      <c r="Y17" s="1">
        <f>RecetteTransport13[[#All],[Nb Objets controlés]]/RecetteTransport13[[#All],[Nb Objets Total]]</f>
        <v>0</v>
      </c>
      <c r="Z17" s="1">
        <f>RecetteTransport13[[#All],[Nb Objets controlés]]/RecetteTransport13[[#All],[Nb Objets Réalisés]]</f>
        <v>0</v>
      </c>
      <c r="AA17">
        <v>1</v>
      </c>
      <c r="AB17">
        <v>0</v>
      </c>
      <c r="AC17" s="11">
        <f>RecetteTransport13[[#All],[Nb de CR]]-RecetteTransport13[[#All],[Nb de CR non conforme]]</f>
        <v>1</v>
      </c>
      <c r="AD17" s="1">
        <f>RecetteTransport13[[#All],[Nb de CR conformes]]/RecetteTransport13[[#All],[Nb de CR]]</f>
        <v>1</v>
      </c>
      <c r="AE17" s="1">
        <f>RecetteTransport13[[#All],[Nb de CR non conforme]]/RecetteTransport13[[#All],[Nb de CR]]</f>
        <v>0</v>
      </c>
      <c r="AF17" s="11"/>
      <c r="AG17" s="11">
        <v>0</v>
      </c>
      <c r="AH17" s="6">
        <f>RecetteTransport13[[#All],[Nb de reprises lors de l''audit]]/RecetteTransport13[[#All],[Nb de CR]]</f>
        <v>0</v>
      </c>
      <c r="AI17" s="11">
        <v>0</v>
      </c>
      <c r="AJ17"/>
      <c r="AK17" s="1" t="e">
        <f>RecetteTransport13[[#All],[ Nb Reprise Mineur]]/RecetteTransport13[[#All],[Nb de reprises total]]</f>
        <v>#DIV/0!</v>
      </c>
      <c r="AL17"/>
      <c r="AM17" s="1" t="e">
        <f>RecetteTransport13[[#All],[Nb Reprise Majeur]]/RecetteTransport13[[#All],[Nb de reprises total]]</f>
        <v>#DIV/0!</v>
      </c>
      <c r="AN17" s="11"/>
      <c r="AO17" s="1" t="e">
        <f>RecetteTransport13[[#All],[Nb de reprises critique]]/RecetteTransport13[[#All],[Nb de reprises total]]</f>
        <v>#DIV/0!</v>
      </c>
      <c r="AP17" s="6" t="e">
        <f>RecetteTransport13[[#All],[Nb de reprises critique]]/RecetteTransport13[[#All],[Nb de reprises total]]</f>
        <v>#DIV/0!</v>
      </c>
      <c r="AQ17" s="1"/>
      <c r="AR17" s="2"/>
      <c r="AS17" s="11"/>
      <c r="AT17" s="11">
        <f>RecetteTransport13[[#All],[ Nb Reprise Mineur]]-RecetteTransport13[[#All],[Nb de reprises validées Mineur]]</f>
        <v>0</v>
      </c>
      <c r="AU17" s="11"/>
      <c r="AV17" s="11">
        <f>RecetteTransport13[[#This Row],[Nb Reprise Majeur]]-RecetteTransport13[[#This Row],[Nb de reprises validées Majeur]]</f>
        <v>0</v>
      </c>
      <c r="AX17" s="11">
        <f>RecetteTransport13[[#All],[Nb de reprises critique]]-RecetteTransport13[[#All],[Nb de reprises validées Critique]]</f>
        <v>0</v>
      </c>
      <c r="AY17" s="11">
        <f>RecetteTransport13[[#All],[Nb de reprises Restantes Mineur]]+RecetteTransport13[[#All],[Nb de reprises Restantes Majeur]]+RecetteTransport13[[#All],[Nb de reprises Restantes Critique]]</f>
        <v>0</v>
      </c>
      <c r="AZ17">
        <v>14</v>
      </c>
      <c r="BA17" s="6">
        <f>RecetteTransport13[[#All],[Nb de reprises Optiques]]/RecetteTransport13[[#All],[Nb de CR]]</f>
        <v>14</v>
      </c>
      <c r="BB17"/>
      <c r="BC17"/>
      <c r="BD17" s="6"/>
      <c r="BF17" s="6">
        <f>RecetteTransport13[[#This Row],[Nb de reprises Optiques]]-RecetteTransport13[[#This Row],[Nb de reprises Optiques validées]]</f>
        <v>14</v>
      </c>
      <c r="BH17"/>
    </row>
    <row r="18" spans="1:60" hidden="1" x14ac:dyDescent="0.3">
      <c r="A18" t="s">
        <v>12</v>
      </c>
      <c r="B18" t="s">
        <v>21</v>
      </c>
      <c r="C18" t="s">
        <v>252</v>
      </c>
      <c r="D18" t="s">
        <v>43</v>
      </c>
      <c r="E18" t="s">
        <v>57</v>
      </c>
      <c r="F18" s="11"/>
      <c r="G18" s="11"/>
      <c r="H18" s="11">
        <f>RecetteTransport13[[#All],[Nb de reprises restantes]]</f>
        <v>0</v>
      </c>
      <c r="I18" s="11">
        <f>RecetteTransport13[[#All],[Nb de reprises Restantes Critique]]</f>
        <v>0</v>
      </c>
      <c r="J18" s="11">
        <f>RecetteTransport13[[#All],[Nb de reprises optiques Restantes]]</f>
        <v>31</v>
      </c>
      <c r="K18" t="s">
        <v>65</v>
      </c>
      <c r="M18" s="2">
        <v>43811</v>
      </c>
      <c r="N18" s="11">
        <v>28</v>
      </c>
      <c r="O18">
        <v>13</v>
      </c>
      <c r="P18" s="2">
        <f>RecetteTransport13[[#All],[Date de demande de Recette]]+10</f>
        <v>43821</v>
      </c>
      <c r="Q18" s="2"/>
      <c r="R18" s="44" t="s">
        <v>29</v>
      </c>
      <c r="S18" s="44" t="s">
        <v>29</v>
      </c>
      <c r="T18" s="2" t="s">
        <v>250</v>
      </c>
      <c r="U18" s="2" t="s">
        <v>250</v>
      </c>
      <c r="V18" s="2" t="s">
        <v>250</v>
      </c>
      <c r="W18" s="2"/>
      <c r="Y18" s="1">
        <f>RecetteTransport13[[#All],[Nb Objets controlés]]/RecetteTransport13[[#All],[Nb Objets Total]]</f>
        <v>0</v>
      </c>
      <c r="Z18" s="1">
        <f>RecetteTransport13[[#All],[Nb Objets controlés]]/RecetteTransport13[[#All],[Nb Objets Réalisés]]</f>
        <v>0</v>
      </c>
      <c r="AC18" s="11">
        <f>RecetteTransport13[[#All],[Nb de CR]]-RecetteTransport13[[#All],[Nb de CR non conforme]]</f>
        <v>0</v>
      </c>
      <c r="AD18" s="1" t="e">
        <f>RecetteTransport13[[#All],[Nb de CR conformes]]/RecetteTransport13[[#All],[Nb de CR]]</f>
        <v>#DIV/0!</v>
      </c>
      <c r="AE18" s="1" t="e">
        <f>RecetteTransport13[[#All],[Nb de CR non conforme]]/RecetteTransport13[[#All],[Nb de CR]]</f>
        <v>#DIV/0!</v>
      </c>
      <c r="AF18" s="11"/>
      <c r="AG18" s="11"/>
      <c r="AH18" s="6" t="e">
        <f>RecetteTransport13[[#All],[Nb de reprises lors de l''audit]]/RecetteTransport13[[#All],[Nb de CR]]</f>
        <v>#DIV/0!</v>
      </c>
      <c r="AI18" s="11"/>
      <c r="AK18" s="1" t="e">
        <f>RecetteTransport13[[#All],[ Nb Reprise Mineur]]/RecetteTransport13[[#All],[Nb de reprises total]]</f>
        <v>#DIV/0!</v>
      </c>
      <c r="AL18" s="11"/>
      <c r="AM18" s="1" t="e">
        <f>RecetteTransport13[[#All],[Nb Reprise Majeur]]/RecetteTransport13[[#All],[Nb de reprises total]]</f>
        <v>#DIV/0!</v>
      </c>
      <c r="AN18" s="11"/>
      <c r="AO18" s="1" t="e">
        <f>RecetteTransport13[[#All],[Nb de reprises critique]]/RecetteTransport13[[#All],[Nb de reprises total]]</f>
        <v>#DIV/0!</v>
      </c>
      <c r="AP18" s="6" t="e">
        <f>RecetteTransport13[[#All],[Nb de reprises critique]]/RecetteTransport13[[#All],[Nb de reprises total]]</f>
        <v>#DIV/0!</v>
      </c>
      <c r="AQ18" s="1"/>
      <c r="AR18" s="2"/>
      <c r="AS18" s="11"/>
      <c r="AT18" s="11">
        <f>RecetteTransport13[[#All],[ Nb Reprise Mineur]]-RecetteTransport13[[#All],[Nb de reprises validées Mineur]]</f>
        <v>0</v>
      </c>
      <c r="AU18" s="11"/>
      <c r="AV18" s="11">
        <f>RecetteTransport13[[#This Row],[Nb Reprise Majeur]]-RecetteTransport13[[#This Row],[Nb de reprises validées Majeur]]</f>
        <v>0</v>
      </c>
      <c r="AX18" s="11">
        <f>RecetteTransport13[[#All],[Nb de reprises critique]]-RecetteTransport13[[#All],[Nb de reprises validées Critique]]</f>
        <v>0</v>
      </c>
      <c r="AY18" s="11">
        <f>RecetteTransport13[[#All],[Nb de reprises Restantes Mineur]]+RecetteTransport13[[#All],[Nb de reprises Restantes Majeur]]+RecetteTransport13[[#All],[Nb de reprises Restantes Critique]]</f>
        <v>0</v>
      </c>
      <c r="AZ18" s="11">
        <v>31</v>
      </c>
      <c r="BA18" s="6" t="e">
        <f>RecetteTransport13[[#All],[Nb de reprises Optiques]]/RecetteTransport13[[#All],[Nb de CR]]</f>
        <v>#DIV/0!</v>
      </c>
      <c r="BC18"/>
      <c r="BD18" s="6"/>
      <c r="BF18" s="6">
        <f>RecetteTransport13[[#This Row],[Nb de reprises Optiques]]-RecetteTransport13[[#This Row],[Nb de reprises Optiques validées]]</f>
        <v>31</v>
      </c>
      <c r="BG18" s="6"/>
      <c r="BH18"/>
    </row>
    <row r="19" spans="1:60" hidden="1" x14ac:dyDescent="0.3">
      <c r="A19" t="s">
        <v>12</v>
      </c>
      <c r="B19" t="s">
        <v>21</v>
      </c>
      <c r="C19" t="s">
        <v>252</v>
      </c>
      <c r="D19" t="s">
        <v>43</v>
      </c>
      <c r="E19" t="s">
        <v>93</v>
      </c>
      <c r="F19" s="11"/>
      <c r="G19" s="11"/>
      <c r="H19" s="11">
        <f>RecetteTransport13[[#All],[Nb de reprises restantes]]</f>
        <v>0</v>
      </c>
      <c r="I19" s="11">
        <f>RecetteTransport13[[#All],[Nb de reprises Restantes Critique]]</f>
        <v>0</v>
      </c>
      <c r="J19" s="11">
        <f>RecetteTransport13[[#All],[Nb de reprises optiques Restantes]]</f>
        <v>0</v>
      </c>
      <c r="K19" t="s">
        <v>65</v>
      </c>
      <c r="M19" s="2">
        <v>43811</v>
      </c>
      <c r="N19" s="11">
        <v>28</v>
      </c>
      <c r="O19">
        <v>13</v>
      </c>
      <c r="P19" s="2">
        <f>RecetteTransport13[[#All],[Date de demande de Recette]]+10</f>
        <v>43821</v>
      </c>
      <c r="Q19" s="2"/>
      <c r="R19" s="44" t="s">
        <v>29</v>
      </c>
      <c r="S19" s="44" t="s">
        <v>29</v>
      </c>
      <c r="T19" s="2" t="s">
        <v>250</v>
      </c>
      <c r="U19" s="2" t="s">
        <v>250</v>
      </c>
      <c r="V19" s="2" t="s">
        <v>250</v>
      </c>
      <c r="W19" s="2"/>
      <c r="Y19" s="1">
        <f>RecetteTransport13[[#All],[Nb Objets controlés]]/RecetteTransport13[[#All],[Nb Objets Total]]</f>
        <v>0</v>
      </c>
      <c r="Z19" s="1">
        <f>RecetteTransport13[[#All],[Nb Objets controlés]]/RecetteTransport13[[#All],[Nb Objets Réalisés]]</f>
        <v>0</v>
      </c>
      <c r="AC19" s="11">
        <f>RecetteTransport13[[#All],[Nb de CR]]-RecetteTransport13[[#All],[Nb de CR non conforme]]</f>
        <v>0</v>
      </c>
      <c r="AD19" s="1" t="e">
        <f>RecetteTransport13[[#All],[Nb de CR conformes]]/RecetteTransport13[[#All],[Nb de CR]]</f>
        <v>#DIV/0!</v>
      </c>
      <c r="AE19" s="1" t="e">
        <f>RecetteTransport13[[#All],[Nb de CR non conforme]]/RecetteTransport13[[#All],[Nb de CR]]</f>
        <v>#DIV/0!</v>
      </c>
      <c r="AF19" s="11"/>
      <c r="AG19" s="11"/>
      <c r="AH19" s="6" t="e">
        <f>RecetteTransport13[[#All],[Nb de reprises lors de l''audit]]/RecetteTransport13[[#All],[Nb de CR]]</f>
        <v>#DIV/0!</v>
      </c>
      <c r="AI19" s="11"/>
      <c r="AK19" s="1" t="e">
        <f>RecetteTransport13[[#All],[ Nb Reprise Mineur]]/RecetteTransport13[[#All],[Nb de reprises total]]</f>
        <v>#DIV/0!</v>
      </c>
      <c r="AL19" s="11"/>
      <c r="AM19" s="1" t="e">
        <f>RecetteTransport13[[#All],[Nb Reprise Majeur]]/RecetteTransport13[[#All],[Nb de reprises total]]</f>
        <v>#DIV/0!</v>
      </c>
      <c r="AN19" s="11"/>
      <c r="AO19" s="1" t="e">
        <f>RecetteTransport13[[#All],[Nb de reprises critique]]/RecetteTransport13[[#All],[Nb de reprises total]]</f>
        <v>#DIV/0!</v>
      </c>
      <c r="AP19" s="6" t="e">
        <f>RecetteTransport13[[#All],[Nb de reprises critique]]/RecetteTransport13[[#All],[Nb de reprises total]]</f>
        <v>#DIV/0!</v>
      </c>
      <c r="AQ19" s="1"/>
      <c r="AR19" s="2"/>
      <c r="AS19" s="11"/>
      <c r="AT19" s="11">
        <f>RecetteTransport13[[#All],[ Nb Reprise Mineur]]-RecetteTransport13[[#All],[Nb de reprises validées Mineur]]</f>
        <v>0</v>
      </c>
      <c r="AU19" s="11"/>
      <c r="AV19" s="11">
        <f>RecetteTransport13[[#This Row],[Nb Reprise Majeur]]-RecetteTransport13[[#This Row],[Nb de reprises validées Majeur]]</f>
        <v>0</v>
      </c>
      <c r="AX19" s="11">
        <f>RecetteTransport13[[#All],[Nb de reprises critique]]-RecetteTransport13[[#All],[Nb de reprises validées Critique]]</f>
        <v>0</v>
      </c>
      <c r="AY19" s="11">
        <f>RecetteTransport13[[#All],[Nb de reprises Restantes Mineur]]+RecetteTransport13[[#All],[Nb de reprises Restantes Majeur]]+RecetteTransport13[[#All],[Nb de reprises Restantes Critique]]</f>
        <v>0</v>
      </c>
      <c r="BA19" s="6" t="e">
        <f>RecetteTransport13[[#All],[Nb de reprises Optiques]]/RecetteTransport13[[#All],[Nb de CR]]</f>
        <v>#DIV/0!</v>
      </c>
      <c r="BC19"/>
      <c r="BD19" s="6"/>
      <c r="BF19" s="6">
        <f>RecetteTransport13[[#This Row],[Nb de reprises Optiques]]-RecetteTransport13[[#This Row],[Nb de reprises Optiques validées]]</f>
        <v>0</v>
      </c>
      <c r="BG19" s="6"/>
      <c r="BH19"/>
    </row>
    <row r="20" spans="1:60" hidden="1" x14ac:dyDescent="0.3">
      <c r="A20" t="s">
        <v>12</v>
      </c>
      <c r="B20" t="s">
        <v>21</v>
      </c>
      <c r="C20" t="s">
        <v>252</v>
      </c>
      <c r="D20" t="s">
        <v>43</v>
      </c>
      <c r="E20" t="s">
        <v>33</v>
      </c>
      <c r="F20" s="11"/>
      <c r="G20" s="11"/>
      <c r="H20" s="11">
        <f>RecetteTransport13[[#All],[Nb de reprises restantes]]</f>
        <v>0</v>
      </c>
      <c r="I20" s="11">
        <f>RecetteTransport13[[#All],[Nb de reprises Restantes Critique]]</f>
        <v>0</v>
      </c>
      <c r="J20" s="11">
        <f>RecetteTransport13[[#All],[Nb de reprises optiques Restantes]]</f>
        <v>0</v>
      </c>
      <c r="K20" t="s">
        <v>65</v>
      </c>
      <c r="M20" s="2">
        <v>43811</v>
      </c>
      <c r="N20" s="11">
        <v>28</v>
      </c>
      <c r="O20">
        <v>13</v>
      </c>
      <c r="P20" s="2">
        <f>RecetteTransport13[[#All],[Date de demande de Recette]]+10</f>
        <v>43821</v>
      </c>
      <c r="Q20" s="2"/>
      <c r="R20" s="44" t="s">
        <v>29</v>
      </c>
      <c r="S20" s="2"/>
      <c r="T20" s="2" t="s">
        <v>250</v>
      </c>
      <c r="U20" s="2" t="s">
        <v>250</v>
      </c>
      <c r="V20" s="2" t="s">
        <v>250</v>
      </c>
      <c r="W20" s="2"/>
      <c r="Y20" s="1">
        <f>RecetteTransport13[[#All],[Nb Objets controlés]]/RecetteTransport13[[#All],[Nb Objets Total]]</f>
        <v>0</v>
      </c>
      <c r="Z20" s="1">
        <f>RecetteTransport13[[#All],[Nb Objets controlés]]/RecetteTransport13[[#All],[Nb Objets Réalisés]]</f>
        <v>0</v>
      </c>
      <c r="AC20" s="11">
        <f>RecetteTransport13[[#All],[Nb de CR]]-RecetteTransport13[[#All],[Nb de CR non conforme]]</f>
        <v>0</v>
      </c>
      <c r="AD20" s="1" t="e">
        <f>RecetteTransport13[[#All],[Nb de CR conformes]]/RecetteTransport13[[#All],[Nb de CR]]</f>
        <v>#DIV/0!</v>
      </c>
      <c r="AE20" s="1" t="e">
        <f>RecetteTransport13[[#All],[Nb de CR non conforme]]/RecetteTransport13[[#All],[Nb de CR]]</f>
        <v>#DIV/0!</v>
      </c>
      <c r="AF20" s="11"/>
      <c r="AG20" s="11"/>
      <c r="AH20" s="6" t="e">
        <f>RecetteTransport13[[#All],[Nb de reprises lors de l''audit]]/RecetteTransport13[[#All],[Nb de CR]]</f>
        <v>#DIV/0!</v>
      </c>
      <c r="AI20" s="11"/>
      <c r="AK20" s="1" t="e">
        <f>RecetteTransport13[[#All],[ Nb Reprise Mineur]]/RecetteTransport13[[#All],[Nb de reprises total]]</f>
        <v>#DIV/0!</v>
      </c>
      <c r="AL20" s="11"/>
      <c r="AM20" s="1" t="e">
        <f>RecetteTransport13[[#All],[Nb Reprise Majeur]]/RecetteTransport13[[#All],[Nb de reprises total]]</f>
        <v>#DIV/0!</v>
      </c>
      <c r="AN20" s="11"/>
      <c r="AO20" s="1" t="e">
        <f>RecetteTransport13[[#All],[Nb de reprises critique]]/RecetteTransport13[[#All],[Nb de reprises total]]</f>
        <v>#DIV/0!</v>
      </c>
      <c r="AP20" s="6" t="e">
        <f>RecetteTransport13[[#All],[Nb de reprises critique]]/RecetteTransport13[[#All],[Nb de reprises total]]</f>
        <v>#DIV/0!</v>
      </c>
      <c r="AQ20" s="1"/>
      <c r="AR20" s="2"/>
      <c r="AS20" s="11"/>
      <c r="AT20" s="11">
        <f>RecetteTransport13[[#All],[ Nb Reprise Mineur]]-RecetteTransport13[[#All],[Nb de reprises validées Mineur]]</f>
        <v>0</v>
      </c>
      <c r="AU20" s="11"/>
      <c r="AV20" s="11">
        <f>RecetteTransport13[[#This Row],[Nb Reprise Majeur]]-RecetteTransport13[[#This Row],[Nb de reprises validées Majeur]]</f>
        <v>0</v>
      </c>
      <c r="AX20" s="11">
        <f>RecetteTransport13[[#All],[Nb de reprises critique]]-RecetteTransport13[[#All],[Nb de reprises validées Critique]]</f>
        <v>0</v>
      </c>
      <c r="AY20" s="11">
        <f>RecetteTransport13[[#All],[Nb de reprises Restantes Mineur]]+RecetteTransport13[[#All],[Nb de reprises Restantes Majeur]]+RecetteTransport13[[#All],[Nb de reprises Restantes Critique]]</f>
        <v>0</v>
      </c>
      <c r="BA20" s="6" t="e">
        <f>RecetteTransport13[[#All],[Nb de reprises Optiques]]/RecetteTransport13[[#All],[Nb de CR]]</f>
        <v>#DIV/0!</v>
      </c>
      <c r="BC20"/>
      <c r="BD20" s="6"/>
      <c r="BF20" s="6">
        <f>RecetteTransport13[[#This Row],[Nb de reprises Optiques]]-RecetteTransport13[[#This Row],[Nb de reprises Optiques validées]]</f>
        <v>0</v>
      </c>
      <c r="BG20" s="6"/>
      <c r="BH20"/>
    </row>
    <row r="21" spans="1:60" hidden="1" x14ac:dyDescent="0.3">
      <c r="A21" t="s">
        <v>12</v>
      </c>
      <c r="B21" t="s">
        <v>21</v>
      </c>
      <c r="C21" t="s">
        <v>252</v>
      </c>
      <c r="D21" t="s">
        <v>43</v>
      </c>
      <c r="E21" t="s">
        <v>60</v>
      </c>
      <c r="F21" s="11"/>
      <c r="G21" s="11"/>
      <c r="H21" s="11">
        <f>RecetteTransport13[[#All],[Nb de reprises restantes]]</f>
        <v>0</v>
      </c>
      <c r="I21" s="11">
        <f>RecetteTransport13[[#All],[Nb de reprises Restantes Critique]]</f>
        <v>0</v>
      </c>
      <c r="J21" s="11">
        <f>RecetteTransport13[[#All],[Nb de reprises optiques Restantes]]</f>
        <v>0</v>
      </c>
      <c r="K21" t="s">
        <v>65</v>
      </c>
      <c r="M21" s="2">
        <v>43811</v>
      </c>
      <c r="N21" s="11">
        <v>28</v>
      </c>
      <c r="O21">
        <v>13</v>
      </c>
      <c r="P21" s="2">
        <f>RecetteTransport13[[#All],[Date de demande de Recette]]+10</f>
        <v>43821</v>
      </c>
      <c r="Q21" s="2"/>
      <c r="R21" s="44" t="s">
        <v>29</v>
      </c>
      <c r="S21" s="2"/>
      <c r="T21" s="2" t="s">
        <v>250</v>
      </c>
      <c r="U21" s="2" t="s">
        <v>250</v>
      </c>
      <c r="V21" s="2" t="s">
        <v>250</v>
      </c>
      <c r="W21" s="2"/>
      <c r="Y21" s="1">
        <f>RecetteTransport13[[#All],[Nb Objets controlés]]/RecetteTransport13[[#All],[Nb Objets Total]]</f>
        <v>0</v>
      </c>
      <c r="Z21" s="1">
        <f>RecetteTransport13[[#All],[Nb Objets controlés]]/RecetteTransport13[[#All],[Nb Objets Réalisés]]</f>
        <v>0</v>
      </c>
      <c r="AC21" s="11">
        <f>RecetteTransport13[[#All],[Nb de CR]]-RecetteTransport13[[#All],[Nb de CR non conforme]]</f>
        <v>0</v>
      </c>
      <c r="AD21" s="1" t="e">
        <f>RecetteTransport13[[#All],[Nb de CR conformes]]/RecetteTransport13[[#All],[Nb de CR]]</f>
        <v>#DIV/0!</v>
      </c>
      <c r="AE21" s="1" t="e">
        <f>RecetteTransport13[[#All],[Nb de CR non conforme]]/RecetteTransport13[[#All],[Nb de CR]]</f>
        <v>#DIV/0!</v>
      </c>
      <c r="AF21" s="11"/>
      <c r="AG21" s="11"/>
      <c r="AH21" s="6" t="e">
        <f>RecetteTransport13[[#All],[Nb de reprises lors de l''audit]]/RecetteTransport13[[#All],[Nb de CR]]</f>
        <v>#DIV/0!</v>
      </c>
      <c r="AI21" s="11"/>
      <c r="AK21" s="1" t="e">
        <f>RecetteTransport13[[#All],[ Nb Reprise Mineur]]/RecetteTransport13[[#All],[Nb de reprises total]]</f>
        <v>#DIV/0!</v>
      </c>
      <c r="AL21" s="11"/>
      <c r="AM21" s="1" t="e">
        <f>RecetteTransport13[[#All],[Nb Reprise Majeur]]/RecetteTransport13[[#All],[Nb de reprises total]]</f>
        <v>#DIV/0!</v>
      </c>
      <c r="AN21" s="11"/>
      <c r="AO21" s="1" t="e">
        <f>RecetteTransport13[[#All],[Nb de reprises critique]]/RecetteTransport13[[#All],[Nb de reprises total]]</f>
        <v>#DIV/0!</v>
      </c>
      <c r="AP21" s="6" t="e">
        <f>RecetteTransport13[[#All],[Nb de reprises critique]]/RecetteTransport13[[#All],[Nb de reprises total]]</f>
        <v>#DIV/0!</v>
      </c>
      <c r="AQ21" s="1"/>
      <c r="AR21" s="2"/>
      <c r="AS21" s="11"/>
      <c r="AT21" s="11">
        <f>RecetteTransport13[[#All],[ Nb Reprise Mineur]]-RecetteTransport13[[#All],[Nb de reprises validées Mineur]]</f>
        <v>0</v>
      </c>
      <c r="AU21" s="11"/>
      <c r="AV21" s="11">
        <f>RecetteTransport13[[#This Row],[Nb Reprise Majeur]]-RecetteTransport13[[#This Row],[Nb de reprises validées Majeur]]</f>
        <v>0</v>
      </c>
      <c r="AX21" s="11">
        <f>RecetteTransport13[[#All],[Nb de reprises critique]]-RecetteTransport13[[#All],[Nb de reprises validées Critique]]</f>
        <v>0</v>
      </c>
      <c r="AY21" s="11">
        <f>RecetteTransport13[[#All],[Nb de reprises Restantes Mineur]]+RecetteTransport13[[#All],[Nb de reprises Restantes Majeur]]+RecetteTransport13[[#All],[Nb de reprises Restantes Critique]]</f>
        <v>0</v>
      </c>
      <c r="BA21" s="6" t="e">
        <f>RecetteTransport13[[#All],[Nb de reprises Optiques]]/RecetteTransport13[[#All],[Nb de CR]]</f>
        <v>#DIV/0!</v>
      </c>
      <c r="BC21"/>
      <c r="BD21" s="6"/>
      <c r="BF21" s="6">
        <f>RecetteTransport13[[#This Row],[Nb de reprises Optiques]]-RecetteTransport13[[#This Row],[Nb de reprises Optiques validées]]</f>
        <v>0</v>
      </c>
      <c r="BG21" s="6"/>
      <c r="BH21"/>
    </row>
    <row r="22" spans="1:60" hidden="1" x14ac:dyDescent="0.3">
      <c r="A22" t="s">
        <v>12</v>
      </c>
      <c r="B22" t="s">
        <v>20</v>
      </c>
      <c r="C22" t="s">
        <v>253</v>
      </c>
      <c r="D22" t="s">
        <v>254</v>
      </c>
      <c r="E22" t="s">
        <v>253</v>
      </c>
      <c r="F22" s="11"/>
      <c r="G22" s="11"/>
      <c r="H22" s="11">
        <f>RecetteTransport13[[#All],[Nb de reprises restantes]]</f>
        <v>0</v>
      </c>
      <c r="I22" s="11">
        <f>RecetteTransport13[[#All],[Nb de reprises Restantes Critique]]</f>
        <v>0</v>
      </c>
      <c r="J22" s="11">
        <f>RecetteTransport13[[#All],[Nb de reprises optiques Restantes]]</f>
        <v>0</v>
      </c>
      <c r="K22" t="s">
        <v>65</v>
      </c>
      <c r="M22" s="2">
        <v>43810</v>
      </c>
      <c r="N22" s="11">
        <v>50</v>
      </c>
      <c r="O22">
        <v>5</v>
      </c>
      <c r="P22" s="2">
        <f>RecetteTransport13[[#All],[Date de demande de Recette]]+10</f>
        <v>43820</v>
      </c>
      <c r="Q22" s="2"/>
      <c r="R22" s="44"/>
      <c r="S22" s="44"/>
      <c r="T22" s="2" t="s">
        <v>250</v>
      </c>
      <c r="U22" s="2" t="s">
        <v>250</v>
      </c>
      <c r="V22" s="2" t="s">
        <v>250</v>
      </c>
      <c r="W22" s="2"/>
      <c r="Y22" s="1">
        <f>RecetteTransport13[[#All],[Nb Objets controlés]]/RecetteTransport13[[#All],[Nb Objets Total]]</f>
        <v>0</v>
      </c>
      <c r="Z22" s="1">
        <f>RecetteTransport13[[#All],[Nb Objets controlés]]/RecetteTransport13[[#All],[Nb Objets Réalisés]]</f>
        <v>0</v>
      </c>
      <c r="AC22" s="11">
        <f>RecetteTransport13[[#All],[Nb de CR]]-RecetteTransport13[[#All],[Nb de CR non conforme]]</f>
        <v>0</v>
      </c>
      <c r="AD22" s="1" t="e">
        <f>RecetteTransport13[[#All],[Nb de CR conformes]]/RecetteTransport13[[#All],[Nb de CR]]</f>
        <v>#DIV/0!</v>
      </c>
      <c r="AE22" s="1" t="e">
        <f>RecetteTransport13[[#All],[Nb de CR non conforme]]/RecetteTransport13[[#All],[Nb de CR]]</f>
        <v>#DIV/0!</v>
      </c>
      <c r="AF22" s="11"/>
      <c r="AG22" s="11"/>
      <c r="AH22" s="6" t="e">
        <f>RecetteTransport13[[#All],[Nb de reprises lors de l''audit]]/RecetteTransport13[[#All],[Nb de CR]]</f>
        <v>#DIV/0!</v>
      </c>
      <c r="AI22" s="11"/>
      <c r="AK22" s="1" t="e">
        <f>RecetteTransport13[[#All],[ Nb Reprise Mineur]]/RecetteTransport13[[#All],[Nb de reprises total]]</f>
        <v>#DIV/0!</v>
      </c>
      <c r="AL22" s="11"/>
      <c r="AM22" s="1" t="e">
        <f>RecetteTransport13[[#All],[Nb Reprise Majeur]]/RecetteTransport13[[#All],[Nb de reprises total]]</f>
        <v>#DIV/0!</v>
      </c>
      <c r="AN22" s="11"/>
      <c r="AO22" s="1" t="e">
        <f>RecetteTransport13[[#All],[Nb de reprises critique]]/RecetteTransport13[[#All],[Nb de reprises total]]</f>
        <v>#DIV/0!</v>
      </c>
      <c r="AP22" s="6" t="e">
        <f>RecetteTransport13[[#All],[Nb de reprises critique]]/RecetteTransport13[[#All],[Nb de reprises total]]</f>
        <v>#DIV/0!</v>
      </c>
      <c r="AQ22" s="1"/>
      <c r="AR22" s="2"/>
      <c r="AS22" s="11"/>
      <c r="AT22" s="11">
        <f>RecetteTransport13[[#All],[ Nb Reprise Mineur]]-RecetteTransport13[[#All],[Nb de reprises validées Mineur]]</f>
        <v>0</v>
      </c>
      <c r="AU22" s="11"/>
      <c r="AV22" s="11">
        <f>RecetteTransport13[[#This Row],[Nb Reprise Majeur]]-RecetteTransport13[[#This Row],[Nb de reprises validées Majeur]]</f>
        <v>0</v>
      </c>
      <c r="AX22" s="11">
        <f>RecetteTransport13[[#All],[Nb de reprises critique]]-RecetteTransport13[[#All],[Nb de reprises validées Critique]]</f>
        <v>0</v>
      </c>
      <c r="AY22" s="11">
        <f>RecetteTransport13[[#All],[Nb de reprises Restantes Mineur]]+RecetteTransport13[[#All],[Nb de reprises Restantes Majeur]]+RecetteTransport13[[#All],[Nb de reprises Restantes Critique]]</f>
        <v>0</v>
      </c>
      <c r="BA22" s="6" t="e">
        <f>RecetteTransport13[[#All],[Nb de reprises Optiques]]/RecetteTransport13[[#All],[Nb de CR]]</f>
        <v>#DIV/0!</v>
      </c>
      <c r="BC22"/>
      <c r="BD22" s="6"/>
      <c r="BF22" s="6">
        <f>RecetteTransport13[[#This Row],[Nb de reprises Optiques]]-RecetteTransport13[[#This Row],[Nb de reprises Optiques validées]]</f>
        <v>0</v>
      </c>
      <c r="BG22" s="6"/>
      <c r="BH22"/>
    </row>
    <row r="23" spans="1:60" hidden="1" x14ac:dyDescent="0.3">
      <c r="A23" t="s">
        <v>12</v>
      </c>
      <c r="B23" t="s">
        <v>20</v>
      </c>
      <c r="C23" t="s">
        <v>253</v>
      </c>
      <c r="D23" t="s">
        <v>254</v>
      </c>
      <c r="E23" t="s">
        <v>255</v>
      </c>
      <c r="F23" s="11"/>
      <c r="G23" s="11"/>
      <c r="H23" s="11">
        <f>RecetteTransport13[[#All],[Nb de reprises restantes]]</f>
        <v>8</v>
      </c>
      <c r="I23" s="11">
        <f>RecetteTransport13[[#All],[Nb de reprises Restantes Critique]]</f>
        <v>1</v>
      </c>
      <c r="J23" s="11">
        <f>RecetteTransport13[[#All],[Nb de reprises optiques Restantes]]</f>
        <v>24</v>
      </c>
      <c r="K23" t="s">
        <v>193</v>
      </c>
      <c r="M23" s="2">
        <v>43810</v>
      </c>
      <c r="N23" s="11">
        <v>1</v>
      </c>
      <c r="O23">
        <v>1</v>
      </c>
      <c r="P23" s="2">
        <f>RecetteTransport13[[#All],[Date de demande de Recette]]+10</f>
        <v>43820</v>
      </c>
      <c r="Q23" s="2">
        <v>43836</v>
      </c>
      <c r="R23" s="44"/>
      <c r="S23" s="44" t="s">
        <v>29</v>
      </c>
      <c r="T23" s="2" t="s">
        <v>250</v>
      </c>
      <c r="U23" s="2" t="s">
        <v>250</v>
      </c>
      <c r="V23" s="2" t="s">
        <v>250</v>
      </c>
      <c r="W23" s="2"/>
      <c r="X23">
        <v>1</v>
      </c>
      <c r="Y23" s="1">
        <f>RecetteTransport13[[#All],[Nb Objets controlés]]/RecetteTransport13[[#All],[Nb Objets Total]]</f>
        <v>1</v>
      </c>
      <c r="Z23" s="1">
        <f>RecetteTransport13[[#All],[Nb Objets controlés]]/RecetteTransport13[[#All],[Nb Objets Réalisés]]</f>
        <v>1</v>
      </c>
      <c r="AA23">
        <v>1</v>
      </c>
      <c r="AB23">
        <v>1</v>
      </c>
      <c r="AC23" s="11">
        <f>RecetteTransport13[[#All],[Nb de CR]]-RecetteTransport13[[#All],[Nb de CR non conforme]]</f>
        <v>0</v>
      </c>
      <c r="AD23" s="1">
        <f>RecetteTransport13[[#All],[Nb de CR conformes]]/RecetteTransport13[[#All],[Nb de CR]]</f>
        <v>0</v>
      </c>
      <c r="AE23" s="1">
        <f>RecetteTransport13[[#All],[Nb de CR non conforme]]/RecetteTransport13[[#All],[Nb de CR]]</f>
        <v>1</v>
      </c>
      <c r="AF23" s="11"/>
      <c r="AG23" s="11">
        <v>8</v>
      </c>
      <c r="AH23" s="6">
        <f>RecetteTransport13[[#All],[Nb de reprises lors de l''audit]]/RecetteTransport13[[#All],[Nb de CR]]</f>
        <v>8</v>
      </c>
      <c r="AI23" s="11">
        <v>8</v>
      </c>
      <c r="AJ23" s="11">
        <v>5</v>
      </c>
      <c r="AK23" s="1">
        <f>RecetteTransport13[[#All],[ Nb Reprise Mineur]]/RecetteTransport13[[#All],[Nb de reprises total]]</f>
        <v>0.625</v>
      </c>
      <c r="AL23" s="11">
        <v>2</v>
      </c>
      <c r="AM23" s="1">
        <f>RecetteTransport13[[#All],[Nb Reprise Majeur]]/RecetteTransport13[[#All],[Nb de reprises total]]</f>
        <v>0.25</v>
      </c>
      <c r="AN23" s="11">
        <v>1</v>
      </c>
      <c r="AO23" s="1">
        <f>RecetteTransport13[[#All],[Nb de reprises critique]]/RecetteTransport13[[#All],[Nb de reprises total]]</f>
        <v>0.125</v>
      </c>
      <c r="AP23" s="6">
        <f>RecetteTransport13[[#All],[Nb de reprises critique]]/RecetteTransport13[[#All],[Nb de reprises total]]</f>
        <v>0.125</v>
      </c>
      <c r="AQ23" s="1" t="s">
        <v>256</v>
      </c>
      <c r="AR23" s="2"/>
      <c r="AS23" s="11"/>
      <c r="AT23" s="11">
        <f>RecetteTransport13[[#All],[ Nb Reprise Mineur]]-RecetteTransport13[[#All],[Nb de reprises validées Mineur]]</f>
        <v>5</v>
      </c>
      <c r="AU23" s="11"/>
      <c r="AV23" s="11">
        <f>RecetteTransport13[[#This Row],[Nb Reprise Majeur]]-RecetteTransport13[[#This Row],[Nb de reprises validées Majeur]]</f>
        <v>2</v>
      </c>
      <c r="AX23" s="11">
        <f>RecetteTransport13[[#All],[Nb de reprises critique]]-RecetteTransport13[[#All],[Nb de reprises validées Critique]]</f>
        <v>1</v>
      </c>
      <c r="AY23" s="11">
        <f>RecetteTransport13[[#All],[Nb de reprises Restantes Mineur]]+RecetteTransport13[[#All],[Nb de reprises Restantes Majeur]]+RecetteTransport13[[#All],[Nb de reprises Restantes Critique]]</f>
        <v>8</v>
      </c>
      <c r="AZ23" s="11">
        <v>24</v>
      </c>
      <c r="BA23" s="6">
        <f>RecetteTransport13[[#All],[Nb de reprises Optiques]]/RecetteTransport13[[#All],[Nb de CR]]</f>
        <v>24</v>
      </c>
      <c r="BC23"/>
      <c r="BD23" s="6"/>
      <c r="BF23" s="6">
        <f>RecetteTransport13[[#This Row],[Nb de reprises Optiques]]-RecetteTransport13[[#This Row],[Nb de reprises Optiques validées]]</f>
        <v>24</v>
      </c>
      <c r="BG23" s="6"/>
      <c r="BH23"/>
    </row>
    <row r="24" spans="1:60" hidden="1" x14ac:dyDescent="0.3">
      <c r="A24" t="s">
        <v>12</v>
      </c>
      <c r="B24" t="s">
        <v>20</v>
      </c>
      <c r="C24" t="s">
        <v>253</v>
      </c>
      <c r="D24" t="s">
        <v>254</v>
      </c>
      <c r="E24" t="s">
        <v>257</v>
      </c>
      <c r="F24" s="11"/>
      <c r="G24" s="11"/>
      <c r="H24" s="11">
        <f>RecetteTransport13[[#All],[Nb de reprises restantes]]</f>
        <v>6</v>
      </c>
      <c r="I24" s="11">
        <f>RecetteTransport13[[#All],[Nb de reprises Restantes Critique]]</f>
        <v>1</v>
      </c>
      <c r="J24" s="11">
        <f>RecetteTransport13[[#All],[Nb de reprises optiques Restantes]]</f>
        <v>21</v>
      </c>
      <c r="K24" t="s">
        <v>193</v>
      </c>
      <c r="M24" s="2">
        <v>43810</v>
      </c>
      <c r="N24" s="11">
        <v>1</v>
      </c>
      <c r="O24">
        <v>1</v>
      </c>
      <c r="P24" s="2">
        <f>RecetteTransport13[[#All],[Date de demande de Recette]]+10</f>
        <v>43820</v>
      </c>
      <c r="Q24" s="2">
        <v>43836</v>
      </c>
      <c r="R24" s="44"/>
      <c r="S24" s="44" t="s">
        <v>29</v>
      </c>
      <c r="T24" s="2" t="s">
        <v>250</v>
      </c>
      <c r="U24" s="2" t="s">
        <v>250</v>
      </c>
      <c r="V24" s="2" t="s">
        <v>250</v>
      </c>
      <c r="W24" s="2"/>
      <c r="X24">
        <v>1</v>
      </c>
      <c r="Y24" s="1">
        <f>RecetteTransport13[[#All],[Nb Objets controlés]]/RecetteTransport13[[#All],[Nb Objets Total]]</f>
        <v>1</v>
      </c>
      <c r="Z24" s="1">
        <f>RecetteTransport13[[#All],[Nb Objets controlés]]/RecetteTransport13[[#All],[Nb Objets Réalisés]]</f>
        <v>1</v>
      </c>
      <c r="AA24">
        <v>1</v>
      </c>
      <c r="AB24">
        <v>1</v>
      </c>
      <c r="AC24" s="11">
        <f>RecetteTransport13[[#All],[Nb de CR]]-RecetteTransport13[[#All],[Nb de CR non conforme]]</f>
        <v>0</v>
      </c>
      <c r="AD24" s="1">
        <f>RecetteTransport13[[#All],[Nb de CR conformes]]/RecetteTransport13[[#All],[Nb de CR]]</f>
        <v>0</v>
      </c>
      <c r="AE24" s="1">
        <f>RecetteTransport13[[#All],[Nb de CR non conforme]]/RecetteTransport13[[#All],[Nb de CR]]</f>
        <v>1</v>
      </c>
      <c r="AF24" s="11"/>
      <c r="AG24" s="11">
        <v>6</v>
      </c>
      <c r="AH24" s="6">
        <f>RecetteTransport13[[#All],[Nb de reprises lors de l''audit]]/RecetteTransport13[[#All],[Nb de CR]]</f>
        <v>6</v>
      </c>
      <c r="AI24" s="11">
        <v>6</v>
      </c>
      <c r="AJ24" s="11">
        <v>5</v>
      </c>
      <c r="AK24" s="1">
        <f>RecetteTransport13[[#All],[ Nb Reprise Mineur]]/RecetteTransport13[[#All],[Nb de reprises total]]</f>
        <v>0.83333333333333337</v>
      </c>
      <c r="AL24" s="11">
        <v>0</v>
      </c>
      <c r="AM24" s="1">
        <f>RecetteTransport13[[#All],[Nb Reprise Majeur]]/RecetteTransport13[[#All],[Nb de reprises total]]</f>
        <v>0</v>
      </c>
      <c r="AN24" s="11">
        <v>1</v>
      </c>
      <c r="AO24" s="1">
        <f>RecetteTransport13[[#All],[Nb de reprises critique]]/RecetteTransport13[[#All],[Nb de reprises total]]</f>
        <v>0.16666666666666666</v>
      </c>
      <c r="AP24" s="6">
        <f>RecetteTransport13[[#All],[Nb de reprises critique]]/RecetteTransport13[[#All],[Nb de reprises total]]</f>
        <v>0.16666666666666666</v>
      </c>
      <c r="AQ24" s="1" t="s">
        <v>256</v>
      </c>
      <c r="AR24" s="2"/>
      <c r="AS24" s="11"/>
      <c r="AT24" s="11">
        <f>RecetteTransport13[[#All],[ Nb Reprise Mineur]]-RecetteTransport13[[#All],[Nb de reprises validées Mineur]]</f>
        <v>5</v>
      </c>
      <c r="AU24" s="11"/>
      <c r="AV24" s="11">
        <f>RecetteTransport13[[#This Row],[Nb Reprise Majeur]]-RecetteTransport13[[#This Row],[Nb de reprises validées Majeur]]</f>
        <v>0</v>
      </c>
      <c r="AX24" s="11">
        <f>RecetteTransport13[[#All],[Nb de reprises critique]]-RecetteTransport13[[#All],[Nb de reprises validées Critique]]</f>
        <v>1</v>
      </c>
      <c r="AY24" s="11">
        <f>RecetteTransport13[[#All],[Nb de reprises Restantes Mineur]]+RecetteTransport13[[#All],[Nb de reprises Restantes Majeur]]+RecetteTransport13[[#All],[Nb de reprises Restantes Critique]]</f>
        <v>6</v>
      </c>
      <c r="AZ24" s="11">
        <v>21</v>
      </c>
      <c r="BA24" s="6">
        <f>RecetteTransport13[[#All],[Nb de reprises Optiques]]/RecetteTransport13[[#All],[Nb de CR]]</f>
        <v>21</v>
      </c>
      <c r="BC24"/>
      <c r="BD24" s="6"/>
      <c r="BF24" s="6">
        <f>RecetteTransport13[[#This Row],[Nb de reprises Optiques]]-RecetteTransport13[[#This Row],[Nb de reprises Optiques validées]]</f>
        <v>21</v>
      </c>
      <c r="BG24" s="6"/>
      <c r="BH24"/>
    </row>
    <row r="25" spans="1:60" x14ac:dyDescent="0.3">
      <c r="A25" t="s">
        <v>12</v>
      </c>
      <c r="B25" t="s">
        <v>13</v>
      </c>
      <c r="C25" t="s">
        <v>258</v>
      </c>
      <c r="D25" t="s">
        <v>41</v>
      </c>
      <c r="E25" t="s">
        <v>94</v>
      </c>
      <c r="F25" s="11"/>
      <c r="G25" s="11"/>
      <c r="H25" s="11">
        <f>RecetteTransport13[[#All],[Nb de reprises restantes]]</f>
        <v>0</v>
      </c>
      <c r="I25" s="11">
        <f>RecetteTransport13[[#All],[Nb de reprises Restantes Critique]]</f>
        <v>0</v>
      </c>
      <c r="J25" s="11">
        <f>RecetteTransport13[[#All],[Nb de reprises optiques Restantes]]</f>
        <v>0</v>
      </c>
      <c r="K25" t="s">
        <v>65</v>
      </c>
      <c r="M25" s="2">
        <v>43812</v>
      </c>
      <c r="N25" s="11">
        <v>36</v>
      </c>
      <c r="O25">
        <v>13</v>
      </c>
      <c r="P25" s="2">
        <f>RecetteTransport13[[#All],[Date de demande de Recette]]+10</f>
        <v>43822</v>
      </c>
      <c r="Q25" s="2"/>
      <c r="R25" s="44"/>
      <c r="S25" s="2"/>
      <c r="T25" s="2" t="s">
        <v>250</v>
      </c>
      <c r="U25" s="2" t="s">
        <v>250</v>
      </c>
      <c r="V25" s="2" t="s">
        <v>250</v>
      </c>
      <c r="W25" s="2"/>
      <c r="Y25" s="1">
        <f>RecetteTransport13[[#All],[Nb Objets controlés]]/RecetteTransport13[[#All],[Nb Objets Total]]</f>
        <v>0</v>
      </c>
      <c r="Z25" s="1">
        <f>RecetteTransport13[[#All],[Nb Objets controlés]]/RecetteTransport13[[#All],[Nb Objets Réalisés]]</f>
        <v>0</v>
      </c>
      <c r="AC25" s="11">
        <f>RecetteTransport13[[#All],[Nb de CR]]-RecetteTransport13[[#All],[Nb de CR non conforme]]</f>
        <v>0</v>
      </c>
      <c r="AD25" s="1" t="e">
        <f>RecetteTransport13[[#All],[Nb de CR conformes]]/RecetteTransport13[[#All],[Nb de CR]]</f>
        <v>#DIV/0!</v>
      </c>
      <c r="AE25" s="1" t="e">
        <f>RecetteTransport13[[#All],[Nb de CR non conforme]]/RecetteTransport13[[#All],[Nb de CR]]</f>
        <v>#DIV/0!</v>
      </c>
      <c r="AF25" s="11"/>
      <c r="AG25" s="11"/>
      <c r="AH25" s="6" t="e">
        <f>RecetteTransport13[[#All],[Nb de reprises lors de l''audit]]/RecetteTransport13[[#All],[Nb de CR]]</f>
        <v>#DIV/0!</v>
      </c>
      <c r="AI25" s="11"/>
      <c r="AK25" s="1" t="e">
        <f>RecetteTransport13[[#All],[ Nb Reprise Mineur]]/RecetteTransport13[[#All],[Nb de reprises total]]</f>
        <v>#DIV/0!</v>
      </c>
      <c r="AL25" s="11"/>
      <c r="AM25" s="1" t="e">
        <f>RecetteTransport13[[#All],[Nb Reprise Majeur]]/RecetteTransport13[[#All],[Nb de reprises total]]</f>
        <v>#DIV/0!</v>
      </c>
      <c r="AN25" s="11"/>
      <c r="AO25" s="1" t="e">
        <f>RecetteTransport13[[#All],[Nb de reprises critique]]/RecetteTransport13[[#All],[Nb de reprises total]]</f>
        <v>#DIV/0!</v>
      </c>
      <c r="AP25" s="6" t="e">
        <f>RecetteTransport13[[#All],[Nb de reprises critique]]/RecetteTransport13[[#All],[Nb de reprises total]]</f>
        <v>#DIV/0!</v>
      </c>
      <c r="AQ25" s="1"/>
      <c r="AR25" s="2"/>
      <c r="AS25" s="11"/>
      <c r="AT25" s="11">
        <f>RecetteTransport13[[#All],[ Nb Reprise Mineur]]-RecetteTransport13[[#All],[Nb de reprises validées Mineur]]</f>
        <v>0</v>
      </c>
      <c r="AU25" s="11"/>
      <c r="AV25" s="11">
        <f>RecetteTransport13[[#This Row],[Nb Reprise Majeur]]-RecetteTransport13[[#This Row],[Nb de reprises validées Majeur]]</f>
        <v>0</v>
      </c>
      <c r="AX25" s="11">
        <f>RecetteTransport13[[#All],[Nb de reprises critique]]-RecetteTransport13[[#All],[Nb de reprises validées Critique]]</f>
        <v>0</v>
      </c>
      <c r="AY25" s="11">
        <f>RecetteTransport13[[#All],[Nb de reprises Restantes Mineur]]+RecetteTransport13[[#All],[Nb de reprises Restantes Majeur]]+RecetteTransport13[[#All],[Nb de reprises Restantes Critique]]</f>
        <v>0</v>
      </c>
      <c r="BA25" s="6" t="e">
        <f>RecetteTransport13[[#All],[Nb de reprises Optiques]]/RecetteTransport13[[#All],[Nb de CR]]</f>
        <v>#DIV/0!</v>
      </c>
      <c r="BC25"/>
      <c r="BD25" s="6"/>
      <c r="BF25" s="6">
        <f>RecetteTransport13[[#This Row],[Nb de reprises Optiques]]-RecetteTransport13[[#This Row],[Nb de reprises Optiques validées]]</f>
        <v>0</v>
      </c>
      <c r="BG25" s="6"/>
      <c r="BH25"/>
    </row>
    <row r="26" spans="1:60" x14ac:dyDescent="0.3">
      <c r="A26" t="s">
        <v>12</v>
      </c>
      <c r="B26" t="s">
        <v>13</v>
      </c>
      <c r="C26" t="s">
        <v>258</v>
      </c>
      <c r="D26" t="s">
        <v>41</v>
      </c>
      <c r="E26" t="s">
        <v>36</v>
      </c>
      <c r="F26" s="11"/>
      <c r="G26" s="11"/>
      <c r="H26" s="11">
        <f>RecetteTransport13[[#All],[Nb de reprises restantes]]</f>
        <v>0</v>
      </c>
      <c r="I26" s="11">
        <f>RecetteTransport13[[#All],[Nb de reprises Restantes Critique]]</f>
        <v>0</v>
      </c>
      <c r="J26" s="11">
        <f>RecetteTransport13[[#All],[Nb de reprises optiques Restantes]]</f>
        <v>0</v>
      </c>
      <c r="K26" t="s">
        <v>65</v>
      </c>
      <c r="M26" s="2">
        <v>43812</v>
      </c>
      <c r="N26" s="11">
        <v>36</v>
      </c>
      <c r="O26">
        <v>13</v>
      </c>
      <c r="P26" s="2">
        <f>RecetteTransport13[[#All],[Date de demande de Recette]]+10</f>
        <v>43822</v>
      </c>
      <c r="Q26" s="2"/>
      <c r="R26" s="44"/>
      <c r="S26" s="44" t="s">
        <v>29</v>
      </c>
      <c r="T26" s="2" t="s">
        <v>250</v>
      </c>
      <c r="U26" s="2" t="s">
        <v>250</v>
      </c>
      <c r="V26" s="2" t="s">
        <v>250</v>
      </c>
      <c r="W26" s="2"/>
      <c r="Y26" s="1">
        <f>RecetteTransport13[[#All],[Nb Objets controlés]]/RecetteTransport13[[#All],[Nb Objets Total]]</f>
        <v>0</v>
      </c>
      <c r="Z26" s="1">
        <f>RecetteTransport13[[#All],[Nb Objets controlés]]/RecetteTransport13[[#All],[Nb Objets Réalisés]]</f>
        <v>0</v>
      </c>
      <c r="AC26" s="11">
        <f>RecetteTransport13[[#All],[Nb de CR]]-RecetteTransport13[[#All],[Nb de CR non conforme]]</f>
        <v>0</v>
      </c>
      <c r="AD26" s="1" t="e">
        <f>RecetteTransport13[[#All],[Nb de CR conformes]]/RecetteTransport13[[#All],[Nb de CR]]</f>
        <v>#DIV/0!</v>
      </c>
      <c r="AE26" s="1" t="e">
        <f>RecetteTransport13[[#All],[Nb de CR non conforme]]/RecetteTransport13[[#All],[Nb de CR]]</f>
        <v>#DIV/0!</v>
      </c>
      <c r="AF26" s="11"/>
      <c r="AG26" s="11"/>
      <c r="AH26" s="6" t="e">
        <f>RecetteTransport13[[#All],[Nb de reprises lors de l''audit]]/RecetteTransport13[[#All],[Nb de CR]]</f>
        <v>#DIV/0!</v>
      </c>
      <c r="AI26" s="11"/>
      <c r="AK26" s="1" t="e">
        <f>RecetteTransport13[[#All],[ Nb Reprise Mineur]]/RecetteTransport13[[#All],[Nb de reprises total]]</f>
        <v>#DIV/0!</v>
      </c>
      <c r="AL26" s="11"/>
      <c r="AM26" s="1" t="e">
        <f>RecetteTransport13[[#All],[Nb Reprise Majeur]]/RecetteTransport13[[#All],[Nb de reprises total]]</f>
        <v>#DIV/0!</v>
      </c>
      <c r="AN26" s="11"/>
      <c r="AO26" s="1" t="e">
        <f>RecetteTransport13[[#All],[Nb de reprises critique]]/RecetteTransport13[[#All],[Nb de reprises total]]</f>
        <v>#DIV/0!</v>
      </c>
      <c r="AP26" s="6" t="e">
        <f>RecetteTransport13[[#All],[Nb de reprises critique]]/RecetteTransport13[[#All],[Nb de reprises total]]</f>
        <v>#DIV/0!</v>
      </c>
      <c r="AQ26" s="1"/>
      <c r="AR26" s="2"/>
      <c r="AS26" s="11"/>
      <c r="AT26" s="11">
        <f>RecetteTransport13[[#All],[ Nb Reprise Mineur]]-RecetteTransport13[[#All],[Nb de reprises validées Mineur]]</f>
        <v>0</v>
      </c>
      <c r="AU26" s="11"/>
      <c r="AV26" s="11">
        <f>RecetteTransport13[[#This Row],[Nb Reprise Majeur]]-RecetteTransport13[[#This Row],[Nb de reprises validées Majeur]]</f>
        <v>0</v>
      </c>
      <c r="AX26" s="11">
        <f>RecetteTransport13[[#All],[Nb de reprises critique]]-RecetteTransport13[[#All],[Nb de reprises validées Critique]]</f>
        <v>0</v>
      </c>
      <c r="AY26" s="11">
        <f>RecetteTransport13[[#All],[Nb de reprises Restantes Mineur]]+RecetteTransport13[[#All],[Nb de reprises Restantes Majeur]]+RecetteTransport13[[#All],[Nb de reprises Restantes Critique]]</f>
        <v>0</v>
      </c>
      <c r="BA26" s="6" t="e">
        <f>RecetteTransport13[[#All],[Nb de reprises Optiques]]/RecetteTransport13[[#All],[Nb de CR]]</f>
        <v>#DIV/0!</v>
      </c>
      <c r="BC26"/>
      <c r="BD26" s="6"/>
      <c r="BF26" s="6">
        <f>RecetteTransport13[[#This Row],[Nb de reprises Optiques]]-RecetteTransport13[[#This Row],[Nb de reprises Optiques validées]]</f>
        <v>0</v>
      </c>
      <c r="BG26" s="6"/>
      <c r="BH26"/>
    </row>
    <row r="27" spans="1:60" x14ac:dyDescent="0.3">
      <c r="A27" t="s">
        <v>12</v>
      </c>
      <c r="B27" t="s">
        <v>13</v>
      </c>
      <c r="C27" t="s">
        <v>258</v>
      </c>
      <c r="D27" t="s">
        <v>41</v>
      </c>
      <c r="E27" t="s">
        <v>14</v>
      </c>
      <c r="F27" s="11"/>
      <c r="G27" s="11"/>
      <c r="H27" s="11">
        <f>RecetteTransport13[[#All],[Nb de reprises restantes]]</f>
        <v>0</v>
      </c>
      <c r="I27" s="11">
        <f>RecetteTransport13[[#All],[Nb de reprises Restantes Critique]]</f>
        <v>0</v>
      </c>
      <c r="J27" s="11">
        <f>RecetteTransport13[[#All],[Nb de reprises optiques Restantes]]</f>
        <v>0</v>
      </c>
      <c r="K27" t="s">
        <v>65</v>
      </c>
      <c r="M27" s="2">
        <v>43812</v>
      </c>
      <c r="N27" s="11">
        <v>36</v>
      </c>
      <c r="O27">
        <v>13</v>
      </c>
      <c r="P27" s="2">
        <f>RecetteTransport13[[#All],[Date de demande de Recette]]+10</f>
        <v>43822</v>
      </c>
      <c r="Q27" s="2"/>
      <c r="R27" s="44"/>
      <c r="S27" s="44" t="s">
        <v>29</v>
      </c>
      <c r="T27" s="2" t="s">
        <v>250</v>
      </c>
      <c r="U27" s="2" t="s">
        <v>250</v>
      </c>
      <c r="V27" s="2" t="s">
        <v>250</v>
      </c>
      <c r="W27" s="2"/>
      <c r="Y27" s="1">
        <f>RecetteTransport13[[#All],[Nb Objets controlés]]/RecetteTransport13[[#All],[Nb Objets Total]]</f>
        <v>0</v>
      </c>
      <c r="Z27" s="1">
        <f>RecetteTransport13[[#All],[Nb Objets controlés]]/RecetteTransport13[[#All],[Nb Objets Réalisés]]</f>
        <v>0</v>
      </c>
      <c r="AC27" s="11">
        <f>RecetteTransport13[[#All],[Nb de CR]]-RecetteTransport13[[#All],[Nb de CR non conforme]]</f>
        <v>0</v>
      </c>
      <c r="AD27" s="1" t="e">
        <f>RecetteTransport13[[#All],[Nb de CR conformes]]/RecetteTransport13[[#All],[Nb de CR]]</f>
        <v>#DIV/0!</v>
      </c>
      <c r="AE27" s="1" t="e">
        <f>RecetteTransport13[[#All],[Nb de CR non conforme]]/RecetteTransport13[[#All],[Nb de CR]]</f>
        <v>#DIV/0!</v>
      </c>
      <c r="AF27" s="11"/>
      <c r="AG27" s="11"/>
      <c r="AH27" s="6" t="e">
        <f>RecetteTransport13[[#All],[Nb de reprises lors de l''audit]]/RecetteTransport13[[#All],[Nb de CR]]</f>
        <v>#DIV/0!</v>
      </c>
      <c r="AI27" s="11"/>
      <c r="AK27" s="1" t="e">
        <f>RecetteTransport13[[#All],[ Nb Reprise Mineur]]/RecetteTransport13[[#All],[Nb de reprises total]]</f>
        <v>#DIV/0!</v>
      </c>
      <c r="AL27" s="11"/>
      <c r="AM27" s="1" t="e">
        <f>RecetteTransport13[[#All],[Nb Reprise Majeur]]/RecetteTransport13[[#All],[Nb de reprises total]]</f>
        <v>#DIV/0!</v>
      </c>
      <c r="AN27" s="11"/>
      <c r="AO27" s="1" t="e">
        <f>RecetteTransport13[[#All],[Nb de reprises critique]]/RecetteTransport13[[#All],[Nb de reprises total]]</f>
        <v>#DIV/0!</v>
      </c>
      <c r="AP27" s="6" t="e">
        <f>RecetteTransport13[[#All],[Nb de reprises critique]]/RecetteTransport13[[#All],[Nb de reprises total]]</f>
        <v>#DIV/0!</v>
      </c>
      <c r="AQ27" s="1"/>
      <c r="AR27" s="2"/>
      <c r="AS27" s="11"/>
      <c r="AT27" s="11">
        <f>RecetteTransport13[[#All],[ Nb Reprise Mineur]]-RecetteTransport13[[#All],[Nb de reprises validées Mineur]]</f>
        <v>0</v>
      </c>
      <c r="AU27" s="11"/>
      <c r="AV27" s="11">
        <f>RecetteTransport13[[#This Row],[Nb Reprise Majeur]]-RecetteTransport13[[#This Row],[Nb de reprises validées Majeur]]</f>
        <v>0</v>
      </c>
      <c r="AX27" s="11">
        <f>RecetteTransport13[[#All],[Nb de reprises critique]]-RecetteTransport13[[#All],[Nb de reprises validées Critique]]</f>
        <v>0</v>
      </c>
      <c r="AY27" s="11">
        <f>RecetteTransport13[[#All],[Nb de reprises Restantes Mineur]]+RecetteTransport13[[#All],[Nb de reprises Restantes Majeur]]+RecetteTransport13[[#All],[Nb de reprises Restantes Critique]]</f>
        <v>0</v>
      </c>
      <c r="BA27" s="6" t="e">
        <f>RecetteTransport13[[#All],[Nb de reprises Optiques]]/RecetteTransport13[[#All],[Nb de CR]]</f>
        <v>#DIV/0!</v>
      </c>
      <c r="BC27"/>
      <c r="BD27" s="6"/>
      <c r="BF27" s="6">
        <f>RecetteTransport13[[#This Row],[Nb de reprises Optiques]]-RecetteTransport13[[#This Row],[Nb de reprises Optiques validées]]</f>
        <v>0</v>
      </c>
      <c r="BG27" s="6"/>
      <c r="BH27"/>
    </row>
    <row r="28" spans="1:60" x14ac:dyDescent="0.3">
      <c r="A28" t="s">
        <v>12</v>
      </c>
      <c r="B28" t="s">
        <v>13</v>
      </c>
      <c r="C28" t="s">
        <v>258</v>
      </c>
      <c r="D28" t="s">
        <v>41</v>
      </c>
      <c r="E28" t="s">
        <v>259</v>
      </c>
      <c r="F28" s="11"/>
      <c r="G28" s="11"/>
      <c r="H28" s="11">
        <f>RecetteTransport13[[#All],[Nb de reprises restantes]]</f>
        <v>0</v>
      </c>
      <c r="I28" s="11">
        <f>RecetteTransport13[[#All],[Nb de reprises Restantes Critique]]</f>
        <v>0</v>
      </c>
      <c r="J28" s="11">
        <f>RecetteTransport13[[#All],[Nb de reprises optiques Restantes]]</f>
        <v>0</v>
      </c>
      <c r="K28" t="s">
        <v>65</v>
      </c>
      <c r="M28" s="2">
        <v>43812</v>
      </c>
      <c r="N28" s="11">
        <v>36</v>
      </c>
      <c r="O28">
        <v>13</v>
      </c>
      <c r="P28" s="2">
        <f>RecetteTransport13[[#All],[Date de demande de Recette]]+10</f>
        <v>43822</v>
      </c>
      <c r="Q28" s="2"/>
      <c r="R28" s="44"/>
      <c r="S28" s="44" t="s">
        <v>29</v>
      </c>
      <c r="T28" s="2" t="s">
        <v>250</v>
      </c>
      <c r="U28" s="2" t="s">
        <v>250</v>
      </c>
      <c r="V28" s="2" t="s">
        <v>250</v>
      </c>
      <c r="W28" s="2"/>
      <c r="Y28" s="1">
        <f>RecetteTransport13[[#All],[Nb Objets controlés]]/RecetteTransport13[[#All],[Nb Objets Total]]</f>
        <v>0</v>
      </c>
      <c r="Z28" s="1">
        <f>RecetteTransport13[[#All],[Nb Objets controlés]]/RecetteTransport13[[#All],[Nb Objets Réalisés]]</f>
        <v>0</v>
      </c>
      <c r="AC28" s="11">
        <f>RecetteTransport13[[#All],[Nb de CR]]-RecetteTransport13[[#All],[Nb de CR non conforme]]</f>
        <v>0</v>
      </c>
      <c r="AD28" s="1" t="e">
        <f>RecetteTransport13[[#All],[Nb de CR conformes]]/RecetteTransport13[[#All],[Nb de CR]]</f>
        <v>#DIV/0!</v>
      </c>
      <c r="AE28" s="1" t="e">
        <f>RecetteTransport13[[#All],[Nb de CR non conforme]]/RecetteTransport13[[#All],[Nb de CR]]</f>
        <v>#DIV/0!</v>
      </c>
      <c r="AF28" s="11"/>
      <c r="AG28" s="11"/>
      <c r="AH28" s="6" t="e">
        <f>RecetteTransport13[[#All],[Nb de reprises lors de l''audit]]/RecetteTransport13[[#All],[Nb de CR]]</f>
        <v>#DIV/0!</v>
      </c>
      <c r="AI28" s="11"/>
      <c r="AK28" s="1" t="e">
        <f>RecetteTransport13[[#All],[ Nb Reprise Mineur]]/RecetteTransport13[[#All],[Nb de reprises total]]</f>
        <v>#DIV/0!</v>
      </c>
      <c r="AL28" s="11"/>
      <c r="AM28" s="1" t="e">
        <f>RecetteTransport13[[#All],[Nb Reprise Majeur]]/RecetteTransport13[[#All],[Nb de reprises total]]</f>
        <v>#DIV/0!</v>
      </c>
      <c r="AN28" s="11"/>
      <c r="AO28" s="1" t="e">
        <f>RecetteTransport13[[#All],[Nb de reprises critique]]/RecetteTransport13[[#All],[Nb de reprises total]]</f>
        <v>#DIV/0!</v>
      </c>
      <c r="AP28" s="6" t="e">
        <f>RecetteTransport13[[#All],[Nb de reprises critique]]/RecetteTransport13[[#All],[Nb de reprises total]]</f>
        <v>#DIV/0!</v>
      </c>
      <c r="AQ28" s="1"/>
      <c r="AR28" s="2"/>
      <c r="AS28" s="11"/>
      <c r="AT28" s="11">
        <f>RecetteTransport13[[#All],[ Nb Reprise Mineur]]-RecetteTransport13[[#All],[Nb de reprises validées Mineur]]</f>
        <v>0</v>
      </c>
      <c r="AU28" s="11"/>
      <c r="AV28" s="11">
        <f>RecetteTransport13[[#This Row],[Nb Reprise Majeur]]-RecetteTransport13[[#This Row],[Nb de reprises validées Majeur]]</f>
        <v>0</v>
      </c>
      <c r="AX28" s="11">
        <f>RecetteTransport13[[#All],[Nb de reprises critique]]-RecetteTransport13[[#All],[Nb de reprises validées Critique]]</f>
        <v>0</v>
      </c>
      <c r="AY28" s="11">
        <f>RecetteTransport13[[#All],[Nb de reprises Restantes Mineur]]+RecetteTransport13[[#All],[Nb de reprises Restantes Majeur]]+RecetteTransport13[[#All],[Nb de reprises Restantes Critique]]</f>
        <v>0</v>
      </c>
      <c r="BA28" s="6" t="e">
        <f>RecetteTransport13[[#All],[Nb de reprises Optiques]]/RecetteTransport13[[#All],[Nb de CR]]</f>
        <v>#DIV/0!</v>
      </c>
      <c r="BC28"/>
      <c r="BD28" s="6"/>
      <c r="BF28" s="6">
        <f>RecetteTransport13[[#This Row],[Nb de reprises Optiques]]-RecetteTransport13[[#This Row],[Nb de reprises Optiques validées]]</f>
        <v>0</v>
      </c>
      <c r="BG28" s="6"/>
      <c r="BH28"/>
    </row>
    <row r="29" spans="1:60" x14ac:dyDescent="0.3">
      <c r="A29" t="s">
        <v>12</v>
      </c>
      <c r="B29" t="s">
        <v>13</v>
      </c>
      <c r="C29" t="s">
        <v>258</v>
      </c>
      <c r="D29" t="s">
        <v>41</v>
      </c>
      <c r="E29" t="s">
        <v>18</v>
      </c>
      <c r="F29" s="11"/>
      <c r="G29" s="11"/>
      <c r="H29" s="11">
        <f>RecetteTransport13[[#All],[Nb de reprises restantes]]</f>
        <v>0</v>
      </c>
      <c r="I29" s="11">
        <f>RecetteTransport13[[#All],[Nb de reprises Restantes Critique]]</f>
        <v>0</v>
      </c>
      <c r="J29" s="11">
        <f>RecetteTransport13[[#All],[Nb de reprises optiques Restantes]]</f>
        <v>0</v>
      </c>
      <c r="K29" t="s">
        <v>65</v>
      </c>
      <c r="M29" s="2">
        <v>43812</v>
      </c>
      <c r="N29" s="11">
        <v>36</v>
      </c>
      <c r="O29">
        <v>13</v>
      </c>
      <c r="P29" s="2">
        <f>RecetteTransport13[[#All],[Date de demande de Recette]]+10</f>
        <v>43822</v>
      </c>
      <c r="Q29" s="2"/>
      <c r="R29" s="44"/>
      <c r="S29" s="44" t="s">
        <v>29</v>
      </c>
      <c r="T29" s="2" t="s">
        <v>250</v>
      </c>
      <c r="U29" s="2" t="s">
        <v>250</v>
      </c>
      <c r="V29" s="2" t="s">
        <v>250</v>
      </c>
      <c r="W29" s="2"/>
      <c r="Y29" s="1">
        <f>RecetteTransport13[[#All],[Nb Objets controlés]]/RecetteTransport13[[#All],[Nb Objets Total]]</f>
        <v>0</v>
      </c>
      <c r="Z29" s="1">
        <f>RecetteTransport13[[#All],[Nb Objets controlés]]/RecetteTransport13[[#All],[Nb Objets Réalisés]]</f>
        <v>0</v>
      </c>
      <c r="AC29" s="11">
        <f>RecetteTransport13[[#All],[Nb de CR]]-RecetteTransport13[[#All],[Nb de CR non conforme]]</f>
        <v>0</v>
      </c>
      <c r="AD29" s="1" t="e">
        <f>RecetteTransport13[[#All],[Nb de CR conformes]]/RecetteTransport13[[#All],[Nb de CR]]</f>
        <v>#DIV/0!</v>
      </c>
      <c r="AE29" s="1" t="e">
        <f>RecetteTransport13[[#All],[Nb de CR non conforme]]/RecetteTransport13[[#All],[Nb de CR]]</f>
        <v>#DIV/0!</v>
      </c>
      <c r="AF29" s="11"/>
      <c r="AG29" s="11"/>
      <c r="AH29" s="6" t="e">
        <f>RecetteTransport13[[#All],[Nb de reprises lors de l''audit]]/RecetteTransport13[[#All],[Nb de CR]]</f>
        <v>#DIV/0!</v>
      </c>
      <c r="AI29" s="11"/>
      <c r="AK29" s="1" t="e">
        <f>RecetteTransport13[[#All],[ Nb Reprise Mineur]]/RecetteTransport13[[#All],[Nb de reprises total]]</f>
        <v>#DIV/0!</v>
      </c>
      <c r="AL29" s="11"/>
      <c r="AM29" s="1" t="e">
        <f>RecetteTransport13[[#All],[Nb Reprise Majeur]]/RecetteTransport13[[#All],[Nb de reprises total]]</f>
        <v>#DIV/0!</v>
      </c>
      <c r="AN29" s="11"/>
      <c r="AO29" s="1" t="e">
        <f>RecetteTransport13[[#All],[Nb de reprises critique]]/RecetteTransport13[[#All],[Nb de reprises total]]</f>
        <v>#DIV/0!</v>
      </c>
      <c r="AP29" s="6" t="e">
        <f>RecetteTransport13[[#All],[Nb de reprises critique]]/RecetteTransport13[[#All],[Nb de reprises total]]</f>
        <v>#DIV/0!</v>
      </c>
      <c r="AQ29" s="1"/>
      <c r="AR29" s="2"/>
      <c r="AS29" s="11"/>
      <c r="AT29" s="11">
        <f>RecetteTransport13[[#All],[ Nb Reprise Mineur]]-RecetteTransport13[[#All],[Nb de reprises validées Mineur]]</f>
        <v>0</v>
      </c>
      <c r="AU29" s="11"/>
      <c r="AV29" s="11">
        <f>RecetteTransport13[[#This Row],[Nb Reprise Majeur]]-RecetteTransport13[[#This Row],[Nb de reprises validées Majeur]]</f>
        <v>0</v>
      </c>
      <c r="AX29" s="11">
        <f>RecetteTransport13[[#All],[Nb de reprises critique]]-RecetteTransport13[[#All],[Nb de reprises validées Critique]]</f>
        <v>0</v>
      </c>
      <c r="AY29" s="11">
        <f>RecetteTransport13[[#All],[Nb de reprises Restantes Mineur]]+RecetteTransport13[[#All],[Nb de reprises Restantes Majeur]]+RecetteTransport13[[#All],[Nb de reprises Restantes Critique]]</f>
        <v>0</v>
      </c>
      <c r="BA29" s="6" t="e">
        <f>RecetteTransport13[[#All],[Nb de reprises Optiques]]/RecetteTransport13[[#All],[Nb de CR]]</f>
        <v>#DIV/0!</v>
      </c>
      <c r="BC29"/>
      <c r="BD29" s="6"/>
      <c r="BF29" s="6">
        <f>RecetteTransport13[[#This Row],[Nb de reprises Optiques]]-RecetteTransport13[[#This Row],[Nb de reprises Optiques validées]]</f>
        <v>0</v>
      </c>
      <c r="BG29" s="6"/>
      <c r="BH29"/>
    </row>
    <row r="30" spans="1:60" x14ac:dyDescent="0.3">
      <c r="A30" t="s">
        <v>12</v>
      </c>
      <c r="B30" t="s">
        <v>13</v>
      </c>
      <c r="C30" t="s">
        <v>260</v>
      </c>
      <c r="D30" t="s">
        <v>46</v>
      </c>
      <c r="E30" t="s">
        <v>204</v>
      </c>
      <c r="F30" s="11"/>
      <c r="G30" s="11"/>
      <c r="H30" s="11">
        <f>RecetteTransport13[[#All],[Nb de reprises restantes]]</f>
        <v>0</v>
      </c>
      <c r="I30" s="11">
        <f>RecetteTransport13[[#All],[Nb de reprises Restantes Critique]]</f>
        <v>0</v>
      </c>
      <c r="J30" s="11">
        <f>RecetteTransport13[[#All],[Nb de reprises optiques Restantes]]</f>
        <v>0</v>
      </c>
      <c r="K30" t="s">
        <v>65</v>
      </c>
      <c r="M30" s="2">
        <v>43818</v>
      </c>
      <c r="N30" s="11">
        <v>61</v>
      </c>
      <c r="O30">
        <v>61</v>
      </c>
      <c r="P30" s="2">
        <f>RecetteTransport13[[#All],[Date de demande de Recette]]+10</f>
        <v>43828</v>
      </c>
      <c r="Q30" s="2"/>
      <c r="R30" s="44"/>
      <c r="S30" s="44" t="s">
        <v>29</v>
      </c>
      <c r="T30" s="2" t="s">
        <v>250</v>
      </c>
      <c r="U30" s="2" t="s">
        <v>250</v>
      </c>
      <c r="V30" s="2" t="s">
        <v>250</v>
      </c>
      <c r="W30" s="2"/>
      <c r="Y30" s="1">
        <f>RecetteTransport13[[#All],[Nb Objets controlés]]/RecetteTransport13[[#All],[Nb Objets Total]]</f>
        <v>0</v>
      </c>
      <c r="Z30" s="1">
        <f>RecetteTransport13[[#All],[Nb Objets controlés]]/RecetteTransport13[[#All],[Nb Objets Réalisés]]</f>
        <v>0</v>
      </c>
      <c r="AC30" s="11">
        <f>RecetteTransport13[[#All],[Nb de CR]]-RecetteTransport13[[#All],[Nb de CR non conforme]]</f>
        <v>0</v>
      </c>
      <c r="AD30" s="1" t="e">
        <f>RecetteTransport13[[#All],[Nb de CR conformes]]/RecetteTransport13[[#All],[Nb de CR]]</f>
        <v>#DIV/0!</v>
      </c>
      <c r="AE30" s="1" t="e">
        <f>RecetteTransport13[[#All],[Nb de CR non conforme]]/RecetteTransport13[[#All],[Nb de CR]]</f>
        <v>#DIV/0!</v>
      </c>
      <c r="AF30" s="11"/>
      <c r="AG30" s="11"/>
      <c r="AH30" s="6" t="e">
        <f>RecetteTransport13[[#All],[Nb de reprises lors de l''audit]]/RecetteTransport13[[#All],[Nb de CR]]</f>
        <v>#DIV/0!</v>
      </c>
      <c r="AI30" s="11"/>
      <c r="AK30" s="1" t="e">
        <f>RecetteTransport13[[#All],[ Nb Reprise Mineur]]/RecetteTransport13[[#All],[Nb de reprises total]]</f>
        <v>#DIV/0!</v>
      </c>
      <c r="AL30" s="11"/>
      <c r="AM30" s="1" t="e">
        <f>RecetteTransport13[[#All],[Nb Reprise Majeur]]/RecetteTransport13[[#All],[Nb de reprises total]]</f>
        <v>#DIV/0!</v>
      </c>
      <c r="AN30" s="11"/>
      <c r="AO30" s="1" t="e">
        <f>RecetteTransport13[[#All],[Nb de reprises critique]]/RecetteTransport13[[#All],[Nb de reprises total]]</f>
        <v>#DIV/0!</v>
      </c>
      <c r="AP30" s="6" t="e">
        <f>RecetteTransport13[[#All],[Nb de reprises critique]]/RecetteTransport13[[#All],[Nb de reprises total]]</f>
        <v>#DIV/0!</v>
      </c>
      <c r="AQ30" s="1"/>
      <c r="AR30" s="2"/>
      <c r="AS30" s="11"/>
      <c r="AT30" s="11">
        <f>RecetteTransport13[[#All],[ Nb Reprise Mineur]]-RecetteTransport13[[#All],[Nb de reprises validées Mineur]]</f>
        <v>0</v>
      </c>
      <c r="AU30" s="11"/>
      <c r="AV30" s="11">
        <f>RecetteTransport13[[#This Row],[Nb Reprise Majeur]]-RecetteTransport13[[#This Row],[Nb de reprises validées Majeur]]</f>
        <v>0</v>
      </c>
      <c r="AX30" s="11">
        <f>RecetteTransport13[[#All],[Nb de reprises critique]]-RecetteTransport13[[#All],[Nb de reprises validées Critique]]</f>
        <v>0</v>
      </c>
      <c r="AY30" s="11">
        <f>RecetteTransport13[[#All],[Nb de reprises Restantes Mineur]]+RecetteTransport13[[#All],[Nb de reprises Restantes Majeur]]+RecetteTransport13[[#All],[Nb de reprises Restantes Critique]]</f>
        <v>0</v>
      </c>
      <c r="BA30" s="6" t="e">
        <f>RecetteTransport13[[#All],[Nb de reprises Optiques]]/RecetteTransport13[[#All],[Nb de CR]]</f>
        <v>#DIV/0!</v>
      </c>
      <c r="BC30"/>
      <c r="BD30" s="6"/>
      <c r="BF30" s="6">
        <f>RecetteTransport13[[#This Row],[Nb de reprises Optiques]]-RecetteTransport13[[#This Row],[Nb de reprises Optiques validées]]</f>
        <v>0</v>
      </c>
      <c r="BG30" s="6"/>
      <c r="BH30"/>
    </row>
    <row r="31" spans="1:60" x14ac:dyDescent="0.3">
      <c r="A31" t="s">
        <v>12</v>
      </c>
      <c r="B31" t="s">
        <v>13</v>
      </c>
      <c r="C31" t="s">
        <v>260</v>
      </c>
      <c r="D31" t="s">
        <v>46</v>
      </c>
      <c r="E31" t="s">
        <v>95</v>
      </c>
      <c r="F31" s="11"/>
      <c r="G31" s="11"/>
      <c r="H31" s="11">
        <f>RecetteTransport13[[#All],[Nb de reprises restantes]]</f>
        <v>0</v>
      </c>
      <c r="I31" s="11">
        <f>RecetteTransport13[[#All],[Nb de reprises Restantes Critique]]</f>
        <v>0</v>
      </c>
      <c r="J31" s="11">
        <f>RecetteTransport13[[#All],[Nb de reprises optiques Restantes]]</f>
        <v>0</v>
      </c>
      <c r="K31" t="s">
        <v>65</v>
      </c>
      <c r="M31" s="2">
        <v>43818</v>
      </c>
      <c r="N31" s="11">
        <v>61</v>
      </c>
      <c r="O31">
        <v>61</v>
      </c>
      <c r="P31" s="2">
        <f>RecetteTransport13[[#All],[Date de demande de Recette]]+10</f>
        <v>43828</v>
      </c>
      <c r="Q31" s="2"/>
      <c r="R31" s="44"/>
      <c r="S31" s="2"/>
      <c r="T31" s="2" t="s">
        <v>250</v>
      </c>
      <c r="U31" s="2" t="s">
        <v>250</v>
      </c>
      <c r="V31" s="2" t="s">
        <v>250</v>
      </c>
      <c r="W31" s="2"/>
      <c r="Y31" s="1">
        <f>RecetteTransport13[[#All],[Nb Objets controlés]]/RecetteTransport13[[#All],[Nb Objets Total]]</f>
        <v>0</v>
      </c>
      <c r="Z31" s="1">
        <f>RecetteTransport13[[#All],[Nb Objets controlés]]/RecetteTransport13[[#All],[Nb Objets Réalisés]]</f>
        <v>0</v>
      </c>
      <c r="AC31" s="11">
        <f>RecetteTransport13[[#All],[Nb de CR]]-RecetteTransport13[[#All],[Nb de CR non conforme]]</f>
        <v>0</v>
      </c>
      <c r="AD31" s="1" t="e">
        <f>RecetteTransport13[[#All],[Nb de CR conformes]]/RecetteTransport13[[#All],[Nb de CR]]</f>
        <v>#DIV/0!</v>
      </c>
      <c r="AE31" s="1" t="e">
        <f>RecetteTransport13[[#All],[Nb de CR non conforme]]/RecetteTransport13[[#All],[Nb de CR]]</f>
        <v>#DIV/0!</v>
      </c>
      <c r="AF31" s="11"/>
      <c r="AG31" s="11"/>
      <c r="AH31" s="6" t="e">
        <f>RecetteTransport13[[#All],[Nb de reprises lors de l''audit]]/RecetteTransport13[[#All],[Nb de CR]]</f>
        <v>#DIV/0!</v>
      </c>
      <c r="AI31" s="11"/>
      <c r="AK31" s="1" t="e">
        <f>RecetteTransport13[[#All],[ Nb Reprise Mineur]]/RecetteTransport13[[#All],[Nb de reprises total]]</f>
        <v>#DIV/0!</v>
      </c>
      <c r="AL31" s="11"/>
      <c r="AM31" s="1" t="e">
        <f>RecetteTransport13[[#All],[Nb Reprise Majeur]]/RecetteTransport13[[#All],[Nb de reprises total]]</f>
        <v>#DIV/0!</v>
      </c>
      <c r="AN31" s="11"/>
      <c r="AO31" s="1" t="e">
        <f>RecetteTransport13[[#All],[Nb de reprises critique]]/RecetteTransport13[[#All],[Nb de reprises total]]</f>
        <v>#DIV/0!</v>
      </c>
      <c r="AP31" s="6" t="e">
        <f>RecetteTransport13[[#All],[Nb de reprises critique]]/RecetteTransport13[[#All],[Nb de reprises total]]</f>
        <v>#DIV/0!</v>
      </c>
      <c r="AQ31" s="1"/>
      <c r="AR31" s="2"/>
      <c r="AS31" s="11"/>
      <c r="AT31" s="11">
        <f>RecetteTransport13[[#All],[ Nb Reprise Mineur]]-RecetteTransport13[[#All],[Nb de reprises validées Mineur]]</f>
        <v>0</v>
      </c>
      <c r="AU31" s="11"/>
      <c r="AV31" s="11">
        <f>RecetteTransport13[[#This Row],[Nb Reprise Majeur]]-RecetteTransport13[[#This Row],[Nb de reprises validées Majeur]]</f>
        <v>0</v>
      </c>
      <c r="AX31" s="11">
        <f>RecetteTransport13[[#All],[Nb de reprises critique]]-RecetteTransport13[[#All],[Nb de reprises validées Critique]]</f>
        <v>0</v>
      </c>
      <c r="AY31" s="11">
        <f>RecetteTransport13[[#All],[Nb de reprises Restantes Mineur]]+RecetteTransport13[[#All],[Nb de reprises Restantes Majeur]]+RecetteTransport13[[#All],[Nb de reprises Restantes Critique]]</f>
        <v>0</v>
      </c>
      <c r="BA31" s="6" t="e">
        <f>RecetteTransport13[[#All],[Nb de reprises Optiques]]/RecetteTransport13[[#All],[Nb de CR]]</f>
        <v>#DIV/0!</v>
      </c>
      <c r="BC31"/>
      <c r="BD31" s="6"/>
      <c r="BF31" s="6">
        <f>RecetteTransport13[[#This Row],[Nb de reprises Optiques]]-RecetteTransport13[[#This Row],[Nb de reprises Optiques validées]]</f>
        <v>0</v>
      </c>
      <c r="BG31" s="6"/>
      <c r="BH31"/>
    </row>
    <row r="32" spans="1:60" x14ac:dyDescent="0.3">
      <c r="A32" t="s">
        <v>12</v>
      </c>
      <c r="B32" t="s">
        <v>13</v>
      </c>
      <c r="C32" t="s">
        <v>260</v>
      </c>
      <c r="D32" t="s">
        <v>46</v>
      </c>
      <c r="E32" t="s">
        <v>261</v>
      </c>
      <c r="F32" s="11"/>
      <c r="G32" s="11"/>
      <c r="H32" s="11">
        <f>RecetteTransport13[[#All],[Nb de reprises restantes]]</f>
        <v>0</v>
      </c>
      <c r="I32" s="11">
        <f>RecetteTransport13[[#All],[Nb de reprises Restantes Critique]]</f>
        <v>0</v>
      </c>
      <c r="J32" s="11">
        <f>RecetteTransport13[[#All],[Nb de reprises optiques Restantes]]</f>
        <v>0</v>
      </c>
      <c r="K32" t="s">
        <v>65</v>
      </c>
      <c r="M32" s="2">
        <v>43818</v>
      </c>
      <c r="N32" s="11">
        <v>61</v>
      </c>
      <c r="O32">
        <v>61</v>
      </c>
      <c r="P32" s="2">
        <f>RecetteTransport13[[#All],[Date de demande de Recette]]+10</f>
        <v>43828</v>
      </c>
      <c r="Q32" s="2"/>
      <c r="R32" s="44"/>
      <c r="S32" s="44" t="s">
        <v>29</v>
      </c>
      <c r="T32" s="2" t="s">
        <v>250</v>
      </c>
      <c r="U32" s="2" t="s">
        <v>250</v>
      </c>
      <c r="V32" s="2" t="s">
        <v>250</v>
      </c>
      <c r="W32" s="2"/>
      <c r="Y32" s="1">
        <f>RecetteTransport13[[#All],[Nb Objets controlés]]/RecetteTransport13[[#All],[Nb Objets Total]]</f>
        <v>0</v>
      </c>
      <c r="Z32" s="1">
        <f>RecetteTransport13[[#All],[Nb Objets controlés]]/RecetteTransport13[[#All],[Nb Objets Réalisés]]</f>
        <v>0</v>
      </c>
      <c r="AC32" s="11">
        <f>RecetteTransport13[[#All],[Nb de CR]]-RecetteTransport13[[#All],[Nb de CR non conforme]]</f>
        <v>0</v>
      </c>
      <c r="AD32" s="1" t="e">
        <f>RecetteTransport13[[#All],[Nb de CR conformes]]/RecetteTransport13[[#All],[Nb de CR]]</f>
        <v>#DIV/0!</v>
      </c>
      <c r="AE32" s="1" t="e">
        <f>RecetteTransport13[[#All],[Nb de CR non conforme]]/RecetteTransport13[[#All],[Nb de CR]]</f>
        <v>#DIV/0!</v>
      </c>
      <c r="AF32" s="11"/>
      <c r="AG32" s="11"/>
      <c r="AH32" s="6" t="e">
        <f>RecetteTransport13[[#All],[Nb de reprises lors de l''audit]]/RecetteTransport13[[#All],[Nb de CR]]</f>
        <v>#DIV/0!</v>
      </c>
      <c r="AI32" s="11"/>
      <c r="AK32" s="1" t="e">
        <f>RecetteTransport13[[#All],[ Nb Reprise Mineur]]/RecetteTransport13[[#All],[Nb de reprises total]]</f>
        <v>#DIV/0!</v>
      </c>
      <c r="AL32" s="11"/>
      <c r="AM32" s="1" t="e">
        <f>RecetteTransport13[[#All],[Nb Reprise Majeur]]/RecetteTransport13[[#All],[Nb de reprises total]]</f>
        <v>#DIV/0!</v>
      </c>
      <c r="AN32" s="11"/>
      <c r="AO32" s="1" t="e">
        <f>RecetteTransport13[[#All],[Nb de reprises critique]]/RecetteTransport13[[#All],[Nb de reprises total]]</f>
        <v>#DIV/0!</v>
      </c>
      <c r="AP32" s="6" t="e">
        <f>RecetteTransport13[[#All],[Nb de reprises critique]]/RecetteTransport13[[#All],[Nb de reprises total]]</f>
        <v>#DIV/0!</v>
      </c>
      <c r="AQ32" s="1"/>
      <c r="AR32" s="2"/>
      <c r="AS32" s="11"/>
      <c r="AT32" s="11">
        <f>RecetteTransport13[[#All],[ Nb Reprise Mineur]]-RecetteTransport13[[#All],[Nb de reprises validées Mineur]]</f>
        <v>0</v>
      </c>
      <c r="AU32" s="11"/>
      <c r="AV32" s="11">
        <f>RecetteTransport13[[#This Row],[Nb Reprise Majeur]]-RecetteTransport13[[#This Row],[Nb de reprises validées Majeur]]</f>
        <v>0</v>
      </c>
      <c r="AX32" s="11">
        <f>RecetteTransport13[[#All],[Nb de reprises critique]]-RecetteTransport13[[#All],[Nb de reprises validées Critique]]</f>
        <v>0</v>
      </c>
      <c r="AY32" s="11">
        <f>RecetteTransport13[[#All],[Nb de reprises Restantes Mineur]]+RecetteTransport13[[#All],[Nb de reprises Restantes Majeur]]+RecetteTransport13[[#All],[Nb de reprises Restantes Critique]]</f>
        <v>0</v>
      </c>
      <c r="BA32" s="6" t="e">
        <f>RecetteTransport13[[#All],[Nb de reprises Optiques]]/RecetteTransport13[[#All],[Nb de CR]]</f>
        <v>#DIV/0!</v>
      </c>
      <c r="BC32"/>
      <c r="BD32" s="6"/>
      <c r="BF32" s="6">
        <f>RecetteTransport13[[#This Row],[Nb de reprises Optiques]]-RecetteTransport13[[#This Row],[Nb de reprises Optiques validées]]</f>
        <v>0</v>
      </c>
      <c r="BG32" s="6"/>
      <c r="BH32"/>
    </row>
    <row r="33" spans="1:60" x14ac:dyDescent="0.3">
      <c r="A33" t="s">
        <v>12</v>
      </c>
      <c r="B33" t="s">
        <v>13</v>
      </c>
      <c r="C33" t="s">
        <v>260</v>
      </c>
      <c r="D33" t="s">
        <v>46</v>
      </c>
      <c r="E33" t="s">
        <v>96</v>
      </c>
      <c r="F33" s="11"/>
      <c r="G33" s="11"/>
      <c r="H33" s="11">
        <f>RecetteTransport13[[#All],[Nb de reprises restantes]]</f>
        <v>0</v>
      </c>
      <c r="I33" s="11">
        <f>RecetteTransport13[[#All],[Nb de reprises Restantes Critique]]</f>
        <v>0</v>
      </c>
      <c r="J33" s="11">
        <f>RecetteTransport13[[#All],[Nb de reprises optiques Restantes]]</f>
        <v>0</v>
      </c>
      <c r="K33" t="s">
        <v>65</v>
      </c>
      <c r="M33" s="2">
        <v>43818</v>
      </c>
      <c r="N33" s="11">
        <v>61</v>
      </c>
      <c r="O33">
        <v>61</v>
      </c>
      <c r="P33" s="2">
        <f>RecetteTransport13[[#All],[Date de demande de Recette]]+10</f>
        <v>43828</v>
      </c>
      <c r="Q33" s="2"/>
      <c r="R33" s="44"/>
      <c r="S33" s="2"/>
      <c r="T33" s="2" t="s">
        <v>250</v>
      </c>
      <c r="U33" s="2" t="s">
        <v>250</v>
      </c>
      <c r="V33" s="2" t="s">
        <v>250</v>
      </c>
      <c r="W33" s="2"/>
      <c r="Y33" s="1">
        <f>RecetteTransport13[[#All],[Nb Objets controlés]]/RecetteTransport13[[#All],[Nb Objets Total]]</f>
        <v>0</v>
      </c>
      <c r="Z33" s="1">
        <f>RecetteTransport13[[#All],[Nb Objets controlés]]/RecetteTransport13[[#All],[Nb Objets Réalisés]]</f>
        <v>0</v>
      </c>
      <c r="AC33" s="11">
        <f>RecetteTransport13[[#All],[Nb de CR]]-RecetteTransport13[[#All],[Nb de CR non conforme]]</f>
        <v>0</v>
      </c>
      <c r="AD33" s="1" t="e">
        <f>RecetteTransport13[[#All],[Nb de CR conformes]]/RecetteTransport13[[#All],[Nb de CR]]</f>
        <v>#DIV/0!</v>
      </c>
      <c r="AE33" s="1" t="e">
        <f>RecetteTransport13[[#All],[Nb de CR non conforme]]/RecetteTransport13[[#All],[Nb de CR]]</f>
        <v>#DIV/0!</v>
      </c>
      <c r="AF33" s="11"/>
      <c r="AG33" s="11"/>
      <c r="AH33" s="6" t="e">
        <f>RecetteTransport13[[#All],[Nb de reprises lors de l''audit]]/RecetteTransport13[[#All],[Nb de CR]]</f>
        <v>#DIV/0!</v>
      </c>
      <c r="AI33" s="11"/>
      <c r="AK33" s="1" t="e">
        <f>RecetteTransport13[[#All],[ Nb Reprise Mineur]]/RecetteTransport13[[#All],[Nb de reprises total]]</f>
        <v>#DIV/0!</v>
      </c>
      <c r="AL33" s="11"/>
      <c r="AM33" s="1" t="e">
        <f>RecetteTransport13[[#All],[Nb Reprise Majeur]]/RecetteTransport13[[#All],[Nb de reprises total]]</f>
        <v>#DIV/0!</v>
      </c>
      <c r="AN33" s="11"/>
      <c r="AO33" s="1" t="e">
        <f>RecetteTransport13[[#All],[Nb de reprises critique]]/RecetteTransport13[[#All],[Nb de reprises total]]</f>
        <v>#DIV/0!</v>
      </c>
      <c r="AP33" s="6" t="e">
        <f>RecetteTransport13[[#All],[Nb de reprises critique]]/RecetteTransport13[[#All],[Nb de reprises total]]</f>
        <v>#DIV/0!</v>
      </c>
      <c r="AQ33" s="1"/>
      <c r="AR33" s="2"/>
      <c r="AS33" s="11"/>
      <c r="AT33" s="11">
        <f>RecetteTransport13[[#All],[ Nb Reprise Mineur]]-RecetteTransport13[[#All],[Nb de reprises validées Mineur]]</f>
        <v>0</v>
      </c>
      <c r="AU33" s="11"/>
      <c r="AV33" s="11">
        <f>RecetteTransport13[[#This Row],[Nb Reprise Majeur]]-RecetteTransport13[[#This Row],[Nb de reprises validées Majeur]]</f>
        <v>0</v>
      </c>
      <c r="AX33" s="11">
        <f>RecetteTransport13[[#All],[Nb de reprises critique]]-RecetteTransport13[[#All],[Nb de reprises validées Critique]]</f>
        <v>0</v>
      </c>
      <c r="AY33" s="11">
        <f>RecetteTransport13[[#All],[Nb de reprises Restantes Mineur]]+RecetteTransport13[[#All],[Nb de reprises Restantes Majeur]]+RecetteTransport13[[#All],[Nb de reprises Restantes Critique]]</f>
        <v>0</v>
      </c>
      <c r="BA33" s="6" t="e">
        <f>RecetteTransport13[[#All],[Nb de reprises Optiques]]/RecetteTransport13[[#All],[Nb de CR]]</f>
        <v>#DIV/0!</v>
      </c>
      <c r="BC33"/>
      <c r="BD33" s="6"/>
      <c r="BF33" s="6">
        <f>RecetteTransport13[[#This Row],[Nb de reprises Optiques]]-RecetteTransport13[[#This Row],[Nb de reprises Optiques validées]]</f>
        <v>0</v>
      </c>
      <c r="BG33" s="6"/>
      <c r="BH33"/>
    </row>
    <row r="34" spans="1:60" x14ac:dyDescent="0.3">
      <c r="A34" t="s">
        <v>12</v>
      </c>
      <c r="B34" t="s">
        <v>13</v>
      </c>
      <c r="C34" t="s">
        <v>260</v>
      </c>
      <c r="D34" t="s">
        <v>46</v>
      </c>
      <c r="E34" t="s">
        <v>97</v>
      </c>
      <c r="F34" s="11"/>
      <c r="G34" s="11"/>
      <c r="H34" s="11">
        <f>RecetteTransport13[[#All],[Nb de reprises restantes]]</f>
        <v>0</v>
      </c>
      <c r="I34" s="11">
        <f>RecetteTransport13[[#All],[Nb de reprises Restantes Critique]]</f>
        <v>0</v>
      </c>
      <c r="J34" s="11">
        <f>RecetteTransport13[[#All],[Nb de reprises optiques Restantes]]</f>
        <v>0</v>
      </c>
      <c r="K34" t="s">
        <v>65</v>
      </c>
      <c r="M34" s="2">
        <v>43818</v>
      </c>
      <c r="N34" s="11">
        <v>61</v>
      </c>
      <c r="O34">
        <v>61</v>
      </c>
      <c r="P34" s="2">
        <f>RecetteTransport13[[#All],[Date de demande de Recette]]+10</f>
        <v>43828</v>
      </c>
      <c r="Q34" s="2"/>
      <c r="R34" s="44"/>
      <c r="S34" s="2"/>
      <c r="T34" s="2" t="s">
        <v>250</v>
      </c>
      <c r="U34" s="2" t="s">
        <v>250</v>
      </c>
      <c r="V34" s="2" t="s">
        <v>250</v>
      </c>
      <c r="W34" s="2"/>
      <c r="Y34" s="1">
        <f>RecetteTransport13[[#All],[Nb Objets controlés]]/RecetteTransport13[[#All],[Nb Objets Total]]</f>
        <v>0</v>
      </c>
      <c r="Z34" s="1">
        <f>RecetteTransport13[[#All],[Nb Objets controlés]]/RecetteTransport13[[#All],[Nb Objets Réalisés]]</f>
        <v>0</v>
      </c>
      <c r="AC34" s="11">
        <f>RecetteTransport13[[#All],[Nb de CR]]-RecetteTransport13[[#All],[Nb de CR non conforme]]</f>
        <v>0</v>
      </c>
      <c r="AD34" s="1" t="e">
        <f>RecetteTransport13[[#All],[Nb de CR conformes]]/RecetteTransport13[[#All],[Nb de CR]]</f>
        <v>#DIV/0!</v>
      </c>
      <c r="AE34" s="1" t="e">
        <f>RecetteTransport13[[#All],[Nb de CR non conforme]]/RecetteTransport13[[#All],[Nb de CR]]</f>
        <v>#DIV/0!</v>
      </c>
      <c r="AF34" s="11"/>
      <c r="AG34" s="11"/>
      <c r="AH34" s="6" t="e">
        <f>RecetteTransport13[[#All],[Nb de reprises lors de l''audit]]/RecetteTransport13[[#All],[Nb de CR]]</f>
        <v>#DIV/0!</v>
      </c>
      <c r="AI34" s="11"/>
      <c r="AK34" s="1" t="e">
        <f>RecetteTransport13[[#All],[ Nb Reprise Mineur]]/RecetteTransport13[[#All],[Nb de reprises total]]</f>
        <v>#DIV/0!</v>
      </c>
      <c r="AL34" s="11"/>
      <c r="AM34" s="1" t="e">
        <f>RecetteTransport13[[#All],[Nb Reprise Majeur]]/RecetteTransport13[[#All],[Nb de reprises total]]</f>
        <v>#DIV/0!</v>
      </c>
      <c r="AN34" s="11"/>
      <c r="AO34" s="1" t="e">
        <f>RecetteTransport13[[#All],[Nb de reprises critique]]/RecetteTransport13[[#All],[Nb de reprises total]]</f>
        <v>#DIV/0!</v>
      </c>
      <c r="AP34" s="6" t="e">
        <f>RecetteTransport13[[#All],[Nb de reprises critique]]/RecetteTransport13[[#All],[Nb de reprises total]]</f>
        <v>#DIV/0!</v>
      </c>
      <c r="AQ34" s="1"/>
      <c r="AR34" s="2"/>
      <c r="AS34" s="11"/>
      <c r="AT34" s="11">
        <f>RecetteTransport13[[#All],[ Nb Reprise Mineur]]-RecetteTransport13[[#All],[Nb de reprises validées Mineur]]</f>
        <v>0</v>
      </c>
      <c r="AU34" s="11"/>
      <c r="AV34" s="11">
        <f>RecetteTransport13[[#This Row],[Nb Reprise Majeur]]-RecetteTransport13[[#This Row],[Nb de reprises validées Majeur]]</f>
        <v>0</v>
      </c>
      <c r="AX34" s="11">
        <f>RecetteTransport13[[#All],[Nb de reprises critique]]-RecetteTransport13[[#All],[Nb de reprises validées Critique]]</f>
        <v>0</v>
      </c>
      <c r="AY34" s="11">
        <f>RecetteTransport13[[#All],[Nb de reprises Restantes Mineur]]+RecetteTransport13[[#All],[Nb de reprises Restantes Majeur]]+RecetteTransport13[[#All],[Nb de reprises Restantes Critique]]</f>
        <v>0</v>
      </c>
      <c r="BA34" s="6" t="e">
        <f>RecetteTransport13[[#All],[Nb de reprises Optiques]]/RecetteTransport13[[#All],[Nb de CR]]</f>
        <v>#DIV/0!</v>
      </c>
      <c r="BC34"/>
      <c r="BD34" s="6"/>
      <c r="BF34" s="6">
        <f>RecetteTransport13[[#This Row],[Nb de reprises Optiques]]-RecetteTransport13[[#This Row],[Nb de reprises Optiques validées]]</f>
        <v>0</v>
      </c>
      <c r="BG34" s="6"/>
      <c r="BH34"/>
    </row>
    <row r="35" spans="1:60" x14ac:dyDescent="0.3">
      <c r="A35" t="s">
        <v>12</v>
      </c>
      <c r="B35" t="s">
        <v>13</v>
      </c>
      <c r="C35" t="s">
        <v>260</v>
      </c>
      <c r="D35" t="s">
        <v>46</v>
      </c>
      <c r="E35" t="s">
        <v>98</v>
      </c>
      <c r="F35" s="11"/>
      <c r="G35" s="11"/>
      <c r="H35" s="11">
        <f>RecetteTransport13[[#All],[Nb de reprises restantes]]</f>
        <v>0</v>
      </c>
      <c r="I35" s="11">
        <f>RecetteTransport13[[#All],[Nb de reprises Restantes Critique]]</f>
        <v>0</v>
      </c>
      <c r="J35" s="11">
        <f>RecetteTransport13[[#All],[Nb de reprises optiques Restantes]]</f>
        <v>0</v>
      </c>
      <c r="K35" t="s">
        <v>65</v>
      </c>
      <c r="M35" s="2">
        <v>43818</v>
      </c>
      <c r="N35" s="11">
        <v>61</v>
      </c>
      <c r="O35">
        <v>61</v>
      </c>
      <c r="P35" s="2">
        <f>RecetteTransport13[[#All],[Date de demande de Recette]]+10</f>
        <v>43828</v>
      </c>
      <c r="Q35" s="2"/>
      <c r="R35" s="44"/>
      <c r="S35" s="2"/>
      <c r="T35" s="2" t="s">
        <v>250</v>
      </c>
      <c r="U35" s="2" t="s">
        <v>250</v>
      </c>
      <c r="V35" s="2" t="s">
        <v>250</v>
      </c>
      <c r="W35" s="2"/>
      <c r="Y35" s="1">
        <f>RecetteTransport13[[#All],[Nb Objets controlés]]/RecetteTransport13[[#All],[Nb Objets Total]]</f>
        <v>0</v>
      </c>
      <c r="Z35" s="1">
        <f>RecetteTransport13[[#All],[Nb Objets controlés]]/RecetteTransport13[[#All],[Nb Objets Réalisés]]</f>
        <v>0</v>
      </c>
      <c r="AC35" s="11">
        <f>RecetteTransport13[[#All],[Nb de CR]]-RecetteTransport13[[#All],[Nb de CR non conforme]]</f>
        <v>0</v>
      </c>
      <c r="AD35" s="1" t="e">
        <f>RecetteTransport13[[#All],[Nb de CR conformes]]/RecetteTransport13[[#All],[Nb de CR]]</f>
        <v>#DIV/0!</v>
      </c>
      <c r="AE35" s="1" t="e">
        <f>RecetteTransport13[[#All],[Nb de CR non conforme]]/RecetteTransport13[[#All],[Nb de CR]]</f>
        <v>#DIV/0!</v>
      </c>
      <c r="AF35" s="11"/>
      <c r="AG35" s="11"/>
      <c r="AH35" s="6" t="e">
        <f>RecetteTransport13[[#All],[Nb de reprises lors de l''audit]]/RecetteTransport13[[#All],[Nb de CR]]</f>
        <v>#DIV/0!</v>
      </c>
      <c r="AI35" s="11"/>
      <c r="AK35" s="1" t="e">
        <f>RecetteTransport13[[#All],[ Nb Reprise Mineur]]/RecetteTransport13[[#All],[Nb de reprises total]]</f>
        <v>#DIV/0!</v>
      </c>
      <c r="AL35" s="11"/>
      <c r="AM35" s="1" t="e">
        <f>RecetteTransport13[[#All],[Nb Reprise Majeur]]/RecetteTransport13[[#All],[Nb de reprises total]]</f>
        <v>#DIV/0!</v>
      </c>
      <c r="AN35" s="11"/>
      <c r="AO35" s="1" t="e">
        <f>RecetteTransport13[[#All],[Nb de reprises critique]]/RecetteTransport13[[#All],[Nb de reprises total]]</f>
        <v>#DIV/0!</v>
      </c>
      <c r="AP35" s="6" t="e">
        <f>RecetteTransport13[[#All],[Nb de reprises critique]]/RecetteTransport13[[#All],[Nb de reprises total]]</f>
        <v>#DIV/0!</v>
      </c>
      <c r="AQ35" s="1"/>
      <c r="AR35" s="2"/>
      <c r="AS35" s="11"/>
      <c r="AT35" s="11">
        <f>RecetteTransport13[[#All],[ Nb Reprise Mineur]]-RecetteTransport13[[#All],[Nb de reprises validées Mineur]]</f>
        <v>0</v>
      </c>
      <c r="AU35" s="11"/>
      <c r="AV35" s="11">
        <f>RecetteTransport13[[#This Row],[Nb Reprise Majeur]]-RecetteTransport13[[#This Row],[Nb de reprises validées Majeur]]</f>
        <v>0</v>
      </c>
      <c r="AX35" s="11">
        <f>RecetteTransport13[[#All],[Nb de reprises critique]]-RecetteTransport13[[#All],[Nb de reprises validées Critique]]</f>
        <v>0</v>
      </c>
      <c r="AY35" s="11">
        <f>RecetteTransport13[[#All],[Nb de reprises Restantes Mineur]]+RecetteTransport13[[#All],[Nb de reprises Restantes Majeur]]+RecetteTransport13[[#All],[Nb de reprises Restantes Critique]]</f>
        <v>0</v>
      </c>
      <c r="BA35" s="6" t="e">
        <f>RecetteTransport13[[#All],[Nb de reprises Optiques]]/RecetteTransport13[[#All],[Nb de CR]]</f>
        <v>#DIV/0!</v>
      </c>
      <c r="BC35"/>
      <c r="BD35" s="6"/>
      <c r="BF35" s="6">
        <f>RecetteTransport13[[#This Row],[Nb de reprises Optiques]]-RecetteTransport13[[#This Row],[Nb de reprises Optiques validées]]</f>
        <v>0</v>
      </c>
      <c r="BG35" s="6"/>
      <c r="BH35"/>
    </row>
    <row r="36" spans="1:60" x14ac:dyDescent="0.3">
      <c r="A36" t="s">
        <v>12</v>
      </c>
      <c r="B36" t="s">
        <v>13</v>
      </c>
      <c r="C36" t="s">
        <v>260</v>
      </c>
      <c r="D36" t="s">
        <v>46</v>
      </c>
      <c r="E36" t="s">
        <v>81</v>
      </c>
      <c r="F36" s="11"/>
      <c r="G36" s="11"/>
      <c r="H36" s="11">
        <f>RecetteTransport13[[#All],[Nb de reprises restantes]]</f>
        <v>0</v>
      </c>
      <c r="I36" s="11">
        <f>RecetteTransport13[[#All],[Nb de reprises Restantes Critique]]</f>
        <v>0</v>
      </c>
      <c r="J36" s="11">
        <f>RecetteTransport13[[#All],[Nb de reprises optiques Restantes]]</f>
        <v>0</v>
      </c>
      <c r="K36" t="s">
        <v>65</v>
      </c>
      <c r="M36" s="2">
        <v>43818</v>
      </c>
      <c r="N36" s="11">
        <v>61</v>
      </c>
      <c r="O36">
        <v>61</v>
      </c>
      <c r="P36" s="2">
        <f>RecetteTransport13[[#All],[Date de demande de Recette]]+10</f>
        <v>43828</v>
      </c>
      <c r="Q36" s="2"/>
      <c r="R36" s="44"/>
      <c r="S36" s="2"/>
      <c r="T36" s="2" t="s">
        <v>250</v>
      </c>
      <c r="U36" s="2" t="s">
        <v>250</v>
      </c>
      <c r="V36" s="2" t="s">
        <v>250</v>
      </c>
      <c r="W36" s="2"/>
      <c r="Y36" s="1">
        <f>RecetteTransport13[[#All],[Nb Objets controlés]]/RecetteTransport13[[#All],[Nb Objets Total]]</f>
        <v>0</v>
      </c>
      <c r="Z36" s="1">
        <f>RecetteTransport13[[#All],[Nb Objets controlés]]/RecetteTransport13[[#All],[Nb Objets Réalisés]]</f>
        <v>0</v>
      </c>
      <c r="AC36" s="11">
        <f>RecetteTransport13[[#All],[Nb de CR]]-RecetteTransport13[[#All],[Nb de CR non conforme]]</f>
        <v>0</v>
      </c>
      <c r="AD36" s="1" t="e">
        <f>RecetteTransport13[[#All],[Nb de CR conformes]]/RecetteTransport13[[#All],[Nb de CR]]</f>
        <v>#DIV/0!</v>
      </c>
      <c r="AE36" s="1" t="e">
        <f>RecetteTransport13[[#All],[Nb de CR non conforme]]/RecetteTransport13[[#All],[Nb de CR]]</f>
        <v>#DIV/0!</v>
      </c>
      <c r="AF36" s="11"/>
      <c r="AG36" s="11"/>
      <c r="AH36" s="6" t="e">
        <f>RecetteTransport13[[#All],[Nb de reprises lors de l''audit]]/RecetteTransport13[[#All],[Nb de CR]]</f>
        <v>#DIV/0!</v>
      </c>
      <c r="AI36" s="11"/>
      <c r="AK36" s="1" t="e">
        <f>RecetteTransport13[[#All],[ Nb Reprise Mineur]]/RecetteTransport13[[#All],[Nb de reprises total]]</f>
        <v>#DIV/0!</v>
      </c>
      <c r="AL36" s="11"/>
      <c r="AM36" s="1" t="e">
        <f>RecetteTransport13[[#All],[Nb Reprise Majeur]]/RecetteTransport13[[#All],[Nb de reprises total]]</f>
        <v>#DIV/0!</v>
      </c>
      <c r="AN36" s="11"/>
      <c r="AO36" s="1" t="e">
        <f>RecetteTransport13[[#All],[Nb de reprises critique]]/RecetteTransport13[[#All],[Nb de reprises total]]</f>
        <v>#DIV/0!</v>
      </c>
      <c r="AP36" s="6" t="e">
        <f>RecetteTransport13[[#All],[Nb de reprises critique]]/RecetteTransport13[[#All],[Nb de reprises total]]</f>
        <v>#DIV/0!</v>
      </c>
      <c r="AQ36" s="1"/>
      <c r="AR36" s="2"/>
      <c r="AS36" s="11"/>
      <c r="AT36" s="11">
        <f>RecetteTransport13[[#All],[ Nb Reprise Mineur]]-RecetteTransport13[[#All],[Nb de reprises validées Mineur]]</f>
        <v>0</v>
      </c>
      <c r="AU36" s="11"/>
      <c r="AV36" s="11">
        <f>RecetteTransport13[[#This Row],[Nb Reprise Majeur]]-RecetteTransport13[[#This Row],[Nb de reprises validées Majeur]]</f>
        <v>0</v>
      </c>
      <c r="AX36" s="11">
        <f>RecetteTransport13[[#All],[Nb de reprises critique]]-RecetteTransport13[[#All],[Nb de reprises validées Critique]]</f>
        <v>0</v>
      </c>
      <c r="AY36" s="11">
        <f>RecetteTransport13[[#All],[Nb de reprises Restantes Mineur]]+RecetteTransport13[[#All],[Nb de reprises Restantes Majeur]]+RecetteTransport13[[#All],[Nb de reprises Restantes Critique]]</f>
        <v>0</v>
      </c>
      <c r="BA36" s="6" t="e">
        <f>RecetteTransport13[[#All],[Nb de reprises Optiques]]/RecetteTransport13[[#All],[Nb de CR]]</f>
        <v>#DIV/0!</v>
      </c>
      <c r="BC36"/>
      <c r="BD36" s="6"/>
      <c r="BF36" s="6">
        <f>RecetteTransport13[[#This Row],[Nb de reprises Optiques]]-RecetteTransport13[[#This Row],[Nb de reprises Optiques validées]]</f>
        <v>0</v>
      </c>
      <c r="BG36" s="6"/>
      <c r="BH36"/>
    </row>
    <row r="37" spans="1:60" x14ac:dyDescent="0.3">
      <c r="A37" t="s">
        <v>12</v>
      </c>
      <c r="B37" t="s">
        <v>13</v>
      </c>
      <c r="C37" t="s">
        <v>260</v>
      </c>
      <c r="D37" t="s">
        <v>46</v>
      </c>
      <c r="E37" t="s">
        <v>99</v>
      </c>
      <c r="F37" s="11"/>
      <c r="G37" s="11"/>
      <c r="H37" s="11">
        <f>RecetteTransport13[[#All],[Nb de reprises restantes]]</f>
        <v>0</v>
      </c>
      <c r="I37" s="11">
        <f>RecetteTransport13[[#All],[Nb de reprises Restantes Critique]]</f>
        <v>0</v>
      </c>
      <c r="J37" s="11">
        <f>RecetteTransport13[[#All],[Nb de reprises optiques Restantes]]</f>
        <v>0</v>
      </c>
      <c r="K37" t="s">
        <v>65</v>
      </c>
      <c r="M37" s="2">
        <v>43818</v>
      </c>
      <c r="N37" s="11">
        <v>61</v>
      </c>
      <c r="O37">
        <v>61</v>
      </c>
      <c r="P37" s="2">
        <f>RecetteTransport13[[#All],[Date de demande de Recette]]+10</f>
        <v>43828</v>
      </c>
      <c r="Q37" s="2"/>
      <c r="R37" s="44"/>
      <c r="S37" s="2"/>
      <c r="T37" s="2" t="s">
        <v>250</v>
      </c>
      <c r="U37" s="2" t="s">
        <v>250</v>
      </c>
      <c r="V37" s="2" t="s">
        <v>250</v>
      </c>
      <c r="W37" s="2"/>
      <c r="Y37" s="1">
        <f>RecetteTransport13[[#All],[Nb Objets controlés]]/RecetteTransport13[[#All],[Nb Objets Total]]</f>
        <v>0</v>
      </c>
      <c r="Z37" s="1">
        <f>RecetteTransport13[[#All],[Nb Objets controlés]]/RecetteTransport13[[#All],[Nb Objets Réalisés]]</f>
        <v>0</v>
      </c>
      <c r="AC37" s="11">
        <f>RecetteTransport13[[#All],[Nb de CR]]-RecetteTransport13[[#All],[Nb de CR non conforme]]</f>
        <v>0</v>
      </c>
      <c r="AD37" s="1" t="e">
        <f>RecetteTransport13[[#All],[Nb de CR conformes]]/RecetteTransport13[[#All],[Nb de CR]]</f>
        <v>#DIV/0!</v>
      </c>
      <c r="AE37" s="1" t="e">
        <f>RecetteTransport13[[#All],[Nb de CR non conforme]]/RecetteTransport13[[#All],[Nb de CR]]</f>
        <v>#DIV/0!</v>
      </c>
      <c r="AF37" s="11"/>
      <c r="AG37" s="11"/>
      <c r="AH37" s="6" t="e">
        <f>RecetteTransport13[[#All],[Nb de reprises lors de l''audit]]/RecetteTransport13[[#All],[Nb de CR]]</f>
        <v>#DIV/0!</v>
      </c>
      <c r="AI37" s="11"/>
      <c r="AK37" s="1" t="e">
        <f>RecetteTransport13[[#All],[ Nb Reprise Mineur]]/RecetteTransport13[[#All],[Nb de reprises total]]</f>
        <v>#DIV/0!</v>
      </c>
      <c r="AL37" s="11"/>
      <c r="AM37" s="1" t="e">
        <f>RecetteTransport13[[#All],[Nb Reprise Majeur]]/RecetteTransport13[[#All],[Nb de reprises total]]</f>
        <v>#DIV/0!</v>
      </c>
      <c r="AN37" s="11"/>
      <c r="AO37" s="1" t="e">
        <f>RecetteTransport13[[#All],[Nb de reprises critique]]/RecetteTransport13[[#All],[Nb de reprises total]]</f>
        <v>#DIV/0!</v>
      </c>
      <c r="AP37" s="6" t="e">
        <f>RecetteTransport13[[#All],[Nb de reprises critique]]/RecetteTransport13[[#All],[Nb de reprises total]]</f>
        <v>#DIV/0!</v>
      </c>
      <c r="AQ37" s="1"/>
      <c r="AR37" s="2"/>
      <c r="AS37" s="11"/>
      <c r="AT37" s="11">
        <f>RecetteTransport13[[#All],[ Nb Reprise Mineur]]-RecetteTransport13[[#All],[Nb de reprises validées Mineur]]</f>
        <v>0</v>
      </c>
      <c r="AU37" s="11"/>
      <c r="AV37" s="11">
        <f>RecetteTransport13[[#This Row],[Nb Reprise Majeur]]-RecetteTransport13[[#This Row],[Nb de reprises validées Majeur]]</f>
        <v>0</v>
      </c>
      <c r="AX37" s="11">
        <f>RecetteTransport13[[#All],[Nb de reprises critique]]-RecetteTransport13[[#All],[Nb de reprises validées Critique]]</f>
        <v>0</v>
      </c>
      <c r="AY37" s="11">
        <f>RecetteTransport13[[#All],[Nb de reprises Restantes Mineur]]+RecetteTransport13[[#All],[Nb de reprises Restantes Majeur]]+RecetteTransport13[[#All],[Nb de reprises Restantes Critique]]</f>
        <v>0</v>
      </c>
      <c r="BA37" s="6" t="e">
        <f>RecetteTransport13[[#All],[Nb de reprises Optiques]]/RecetteTransport13[[#All],[Nb de CR]]</f>
        <v>#DIV/0!</v>
      </c>
      <c r="BC37"/>
      <c r="BD37" s="6"/>
      <c r="BF37" s="6">
        <f>RecetteTransport13[[#This Row],[Nb de reprises Optiques]]-RecetteTransport13[[#This Row],[Nb de reprises Optiques validées]]</f>
        <v>0</v>
      </c>
      <c r="BG37" s="6"/>
      <c r="BH37"/>
    </row>
    <row r="38" spans="1:60" x14ac:dyDescent="0.3">
      <c r="A38" t="s">
        <v>12</v>
      </c>
      <c r="B38" t="s">
        <v>13</v>
      </c>
      <c r="C38" t="s">
        <v>260</v>
      </c>
      <c r="D38" t="s">
        <v>46</v>
      </c>
      <c r="E38" t="s">
        <v>100</v>
      </c>
      <c r="F38" s="11"/>
      <c r="G38" s="11"/>
      <c r="H38" s="11">
        <f>RecetteTransport13[[#All],[Nb de reprises restantes]]</f>
        <v>0</v>
      </c>
      <c r="I38" s="11">
        <f>RecetteTransport13[[#All],[Nb de reprises Restantes Critique]]</f>
        <v>0</v>
      </c>
      <c r="J38" s="11">
        <f>RecetteTransport13[[#All],[Nb de reprises optiques Restantes]]</f>
        <v>0</v>
      </c>
      <c r="K38" t="s">
        <v>65</v>
      </c>
      <c r="M38" s="2">
        <v>43818</v>
      </c>
      <c r="N38" s="11">
        <v>61</v>
      </c>
      <c r="O38">
        <v>61</v>
      </c>
      <c r="P38" s="2">
        <f>RecetteTransport13[[#All],[Date de demande de Recette]]+10</f>
        <v>43828</v>
      </c>
      <c r="Q38" s="2"/>
      <c r="R38" s="44"/>
      <c r="S38" s="2"/>
      <c r="T38" s="2" t="s">
        <v>250</v>
      </c>
      <c r="U38" s="2" t="s">
        <v>250</v>
      </c>
      <c r="V38" s="2" t="s">
        <v>250</v>
      </c>
      <c r="W38" s="2"/>
      <c r="Y38" s="1">
        <f>RecetteTransport13[[#All],[Nb Objets controlés]]/RecetteTransport13[[#All],[Nb Objets Total]]</f>
        <v>0</v>
      </c>
      <c r="Z38" s="1">
        <f>RecetteTransport13[[#All],[Nb Objets controlés]]/RecetteTransport13[[#All],[Nb Objets Réalisés]]</f>
        <v>0</v>
      </c>
      <c r="AC38" s="11">
        <f>RecetteTransport13[[#All],[Nb de CR]]-RecetteTransport13[[#All],[Nb de CR non conforme]]</f>
        <v>0</v>
      </c>
      <c r="AD38" s="1" t="e">
        <f>RecetteTransport13[[#All],[Nb de CR conformes]]/RecetteTransport13[[#All],[Nb de CR]]</f>
        <v>#DIV/0!</v>
      </c>
      <c r="AE38" s="1" t="e">
        <f>RecetteTransport13[[#All],[Nb de CR non conforme]]/RecetteTransport13[[#All],[Nb de CR]]</f>
        <v>#DIV/0!</v>
      </c>
      <c r="AF38" s="11"/>
      <c r="AG38" s="11"/>
      <c r="AH38" s="6" t="e">
        <f>RecetteTransport13[[#All],[Nb de reprises lors de l''audit]]/RecetteTransport13[[#All],[Nb de CR]]</f>
        <v>#DIV/0!</v>
      </c>
      <c r="AI38" s="11"/>
      <c r="AK38" s="1" t="e">
        <f>RecetteTransport13[[#All],[ Nb Reprise Mineur]]/RecetteTransport13[[#All],[Nb de reprises total]]</f>
        <v>#DIV/0!</v>
      </c>
      <c r="AL38" s="11"/>
      <c r="AM38" s="1" t="e">
        <f>RecetteTransport13[[#All],[Nb Reprise Majeur]]/RecetteTransport13[[#All],[Nb de reprises total]]</f>
        <v>#DIV/0!</v>
      </c>
      <c r="AN38" s="11"/>
      <c r="AO38" s="1" t="e">
        <f>RecetteTransport13[[#All],[Nb de reprises critique]]/RecetteTransport13[[#All],[Nb de reprises total]]</f>
        <v>#DIV/0!</v>
      </c>
      <c r="AP38" s="6" t="e">
        <f>RecetteTransport13[[#All],[Nb de reprises critique]]/RecetteTransport13[[#All],[Nb de reprises total]]</f>
        <v>#DIV/0!</v>
      </c>
      <c r="AQ38" s="1"/>
      <c r="AR38" s="2"/>
      <c r="AS38" s="11"/>
      <c r="AT38" s="11">
        <f>RecetteTransport13[[#All],[ Nb Reprise Mineur]]-RecetteTransport13[[#All],[Nb de reprises validées Mineur]]</f>
        <v>0</v>
      </c>
      <c r="AU38" s="11"/>
      <c r="AV38" s="11">
        <f>RecetteTransport13[[#This Row],[Nb Reprise Majeur]]-RecetteTransport13[[#This Row],[Nb de reprises validées Majeur]]</f>
        <v>0</v>
      </c>
      <c r="AX38" s="11">
        <f>RecetteTransport13[[#All],[Nb de reprises critique]]-RecetteTransport13[[#All],[Nb de reprises validées Critique]]</f>
        <v>0</v>
      </c>
      <c r="AY38" s="11">
        <f>RecetteTransport13[[#All],[Nb de reprises Restantes Mineur]]+RecetteTransport13[[#All],[Nb de reprises Restantes Majeur]]+RecetteTransport13[[#All],[Nb de reprises Restantes Critique]]</f>
        <v>0</v>
      </c>
      <c r="BA38" s="6" t="e">
        <f>RecetteTransport13[[#All],[Nb de reprises Optiques]]/RecetteTransport13[[#All],[Nb de CR]]</f>
        <v>#DIV/0!</v>
      </c>
      <c r="BC38"/>
      <c r="BD38" s="6"/>
      <c r="BF38" s="6">
        <f>RecetteTransport13[[#This Row],[Nb de reprises Optiques]]-RecetteTransport13[[#This Row],[Nb de reprises Optiques validées]]</f>
        <v>0</v>
      </c>
      <c r="BG38" s="6"/>
      <c r="BH38"/>
    </row>
    <row r="39" spans="1:60" x14ac:dyDescent="0.3">
      <c r="A39" t="s">
        <v>12</v>
      </c>
      <c r="B39" t="s">
        <v>13</v>
      </c>
      <c r="C39" t="s">
        <v>260</v>
      </c>
      <c r="D39" t="s">
        <v>46</v>
      </c>
      <c r="E39" t="s">
        <v>101</v>
      </c>
      <c r="F39" s="11"/>
      <c r="G39" s="11"/>
      <c r="H39" s="11">
        <f>RecetteTransport13[[#All],[Nb de reprises restantes]]</f>
        <v>0</v>
      </c>
      <c r="I39" s="11">
        <f>RecetteTransport13[[#All],[Nb de reprises Restantes Critique]]</f>
        <v>0</v>
      </c>
      <c r="J39" s="11">
        <f>RecetteTransport13[[#All],[Nb de reprises optiques Restantes]]</f>
        <v>0</v>
      </c>
      <c r="K39" t="s">
        <v>65</v>
      </c>
      <c r="M39" s="2">
        <v>43818</v>
      </c>
      <c r="N39" s="11">
        <v>61</v>
      </c>
      <c r="O39">
        <v>61</v>
      </c>
      <c r="P39" s="2">
        <f>RecetteTransport13[[#All],[Date de demande de Recette]]+10</f>
        <v>43828</v>
      </c>
      <c r="Q39" s="2"/>
      <c r="R39" s="44"/>
      <c r="S39" s="2"/>
      <c r="T39" s="2" t="s">
        <v>250</v>
      </c>
      <c r="U39" s="2" t="s">
        <v>250</v>
      </c>
      <c r="V39" s="2" t="s">
        <v>250</v>
      </c>
      <c r="W39" s="2"/>
      <c r="Y39" s="1">
        <f>RecetteTransport13[[#All],[Nb Objets controlés]]/RecetteTransport13[[#All],[Nb Objets Total]]</f>
        <v>0</v>
      </c>
      <c r="Z39" s="1">
        <f>RecetteTransport13[[#All],[Nb Objets controlés]]/RecetteTransport13[[#All],[Nb Objets Réalisés]]</f>
        <v>0</v>
      </c>
      <c r="AC39" s="11">
        <f>RecetteTransport13[[#All],[Nb de CR]]-RecetteTransport13[[#All],[Nb de CR non conforme]]</f>
        <v>0</v>
      </c>
      <c r="AD39" s="1" t="e">
        <f>RecetteTransport13[[#All],[Nb de CR conformes]]/RecetteTransport13[[#All],[Nb de CR]]</f>
        <v>#DIV/0!</v>
      </c>
      <c r="AE39" s="1" t="e">
        <f>RecetteTransport13[[#All],[Nb de CR non conforme]]/RecetteTransport13[[#All],[Nb de CR]]</f>
        <v>#DIV/0!</v>
      </c>
      <c r="AF39" s="11"/>
      <c r="AG39" s="11"/>
      <c r="AH39" s="6" t="e">
        <f>RecetteTransport13[[#All],[Nb de reprises lors de l''audit]]/RecetteTransport13[[#All],[Nb de CR]]</f>
        <v>#DIV/0!</v>
      </c>
      <c r="AI39" s="11"/>
      <c r="AK39" s="1" t="e">
        <f>RecetteTransport13[[#All],[ Nb Reprise Mineur]]/RecetteTransport13[[#All],[Nb de reprises total]]</f>
        <v>#DIV/0!</v>
      </c>
      <c r="AL39" s="11"/>
      <c r="AM39" s="1" t="e">
        <f>RecetteTransport13[[#All],[Nb Reprise Majeur]]/RecetteTransport13[[#All],[Nb de reprises total]]</f>
        <v>#DIV/0!</v>
      </c>
      <c r="AN39" s="11"/>
      <c r="AO39" s="1" t="e">
        <f>RecetteTransport13[[#All],[Nb de reprises critique]]/RecetteTransport13[[#All],[Nb de reprises total]]</f>
        <v>#DIV/0!</v>
      </c>
      <c r="AP39" s="6" t="e">
        <f>RecetteTransport13[[#All],[Nb de reprises critique]]/RecetteTransport13[[#All],[Nb de reprises total]]</f>
        <v>#DIV/0!</v>
      </c>
      <c r="AQ39" s="1"/>
      <c r="AR39" s="2"/>
      <c r="AS39" s="11"/>
      <c r="AT39" s="11">
        <f>RecetteTransport13[[#All],[ Nb Reprise Mineur]]-RecetteTransport13[[#All],[Nb de reprises validées Mineur]]</f>
        <v>0</v>
      </c>
      <c r="AU39" s="11"/>
      <c r="AV39" s="11">
        <f>RecetteTransport13[[#This Row],[Nb Reprise Majeur]]-RecetteTransport13[[#This Row],[Nb de reprises validées Majeur]]</f>
        <v>0</v>
      </c>
      <c r="AX39" s="11">
        <f>RecetteTransport13[[#All],[Nb de reprises critique]]-RecetteTransport13[[#All],[Nb de reprises validées Critique]]</f>
        <v>0</v>
      </c>
      <c r="AY39" s="11">
        <f>RecetteTransport13[[#All],[Nb de reprises Restantes Mineur]]+RecetteTransport13[[#All],[Nb de reprises Restantes Majeur]]+RecetteTransport13[[#All],[Nb de reprises Restantes Critique]]</f>
        <v>0</v>
      </c>
      <c r="BA39" s="6" t="e">
        <f>RecetteTransport13[[#All],[Nb de reprises Optiques]]/RecetteTransport13[[#All],[Nb de CR]]</f>
        <v>#DIV/0!</v>
      </c>
      <c r="BC39"/>
      <c r="BD39" s="6"/>
      <c r="BF39" s="6">
        <f>RecetteTransport13[[#This Row],[Nb de reprises Optiques]]-RecetteTransport13[[#This Row],[Nb de reprises Optiques validées]]</f>
        <v>0</v>
      </c>
      <c r="BG39" s="6"/>
      <c r="BH39"/>
    </row>
    <row r="40" spans="1:60" x14ac:dyDescent="0.3">
      <c r="A40" t="s">
        <v>12</v>
      </c>
      <c r="B40" t="s">
        <v>13</v>
      </c>
      <c r="C40" t="s">
        <v>260</v>
      </c>
      <c r="D40" t="s">
        <v>46</v>
      </c>
      <c r="E40" t="s">
        <v>85</v>
      </c>
      <c r="F40" s="11"/>
      <c r="G40" s="11"/>
      <c r="H40" s="11">
        <f>RecetteTransport13[[#All],[Nb de reprises restantes]]</f>
        <v>0</v>
      </c>
      <c r="I40" s="11">
        <f>RecetteTransport13[[#All],[Nb de reprises Restantes Critique]]</f>
        <v>0</v>
      </c>
      <c r="J40" s="11">
        <f>RecetteTransport13[[#All],[Nb de reprises optiques Restantes]]</f>
        <v>0</v>
      </c>
      <c r="K40" t="s">
        <v>65</v>
      </c>
      <c r="M40" s="2">
        <v>43818</v>
      </c>
      <c r="N40" s="11">
        <v>61</v>
      </c>
      <c r="O40">
        <v>61</v>
      </c>
      <c r="P40" s="2">
        <f>RecetteTransport13[[#All],[Date de demande de Recette]]+10</f>
        <v>43828</v>
      </c>
      <c r="Q40" s="2"/>
      <c r="R40" s="44"/>
      <c r="S40" s="2"/>
      <c r="T40" s="2" t="s">
        <v>250</v>
      </c>
      <c r="U40" s="2" t="s">
        <v>250</v>
      </c>
      <c r="V40" s="2" t="s">
        <v>250</v>
      </c>
      <c r="W40" s="2"/>
      <c r="Y40" s="1">
        <f>RecetteTransport13[[#All],[Nb Objets controlés]]/RecetteTransport13[[#All],[Nb Objets Total]]</f>
        <v>0</v>
      </c>
      <c r="Z40" s="1">
        <f>RecetteTransport13[[#All],[Nb Objets controlés]]/RecetteTransport13[[#All],[Nb Objets Réalisés]]</f>
        <v>0</v>
      </c>
      <c r="AC40" s="11">
        <f>RecetteTransport13[[#All],[Nb de CR]]-RecetteTransport13[[#All],[Nb de CR non conforme]]</f>
        <v>0</v>
      </c>
      <c r="AD40" s="1" t="e">
        <f>RecetteTransport13[[#All],[Nb de CR conformes]]/RecetteTransport13[[#All],[Nb de CR]]</f>
        <v>#DIV/0!</v>
      </c>
      <c r="AE40" s="1" t="e">
        <f>RecetteTransport13[[#All],[Nb de CR non conforme]]/RecetteTransport13[[#All],[Nb de CR]]</f>
        <v>#DIV/0!</v>
      </c>
      <c r="AF40" s="11"/>
      <c r="AG40" s="11"/>
      <c r="AH40" s="6" t="e">
        <f>RecetteTransport13[[#All],[Nb de reprises lors de l''audit]]/RecetteTransport13[[#All],[Nb de CR]]</f>
        <v>#DIV/0!</v>
      </c>
      <c r="AI40" s="11"/>
      <c r="AK40" s="1" t="e">
        <f>RecetteTransport13[[#All],[ Nb Reprise Mineur]]/RecetteTransport13[[#All],[Nb de reprises total]]</f>
        <v>#DIV/0!</v>
      </c>
      <c r="AL40" s="11"/>
      <c r="AM40" s="1" t="e">
        <f>RecetteTransport13[[#All],[Nb Reprise Majeur]]/RecetteTransport13[[#All],[Nb de reprises total]]</f>
        <v>#DIV/0!</v>
      </c>
      <c r="AN40" s="11"/>
      <c r="AO40" s="1" t="e">
        <f>RecetteTransport13[[#All],[Nb de reprises critique]]/RecetteTransport13[[#All],[Nb de reprises total]]</f>
        <v>#DIV/0!</v>
      </c>
      <c r="AP40" s="6" t="e">
        <f>RecetteTransport13[[#All],[Nb de reprises critique]]/RecetteTransport13[[#All],[Nb de reprises total]]</f>
        <v>#DIV/0!</v>
      </c>
      <c r="AQ40" s="1"/>
      <c r="AR40" s="2"/>
      <c r="AS40" s="11"/>
      <c r="AT40" s="11">
        <f>RecetteTransport13[[#All],[ Nb Reprise Mineur]]-RecetteTransport13[[#All],[Nb de reprises validées Mineur]]</f>
        <v>0</v>
      </c>
      <c r="AU40" s="11"/>
      <c r="AV40" s="11">
        <f>RecetteTransport13[[#This Row],[Nb Reprise Majeur]]-RecetteTransport13[[#This Row],[Nb de reprises validées Majeur]]</f>
        <v>0</v>
      </c>
      <c r="AX40" s="11">
        <f>RecetteTransport13[[#All],[Nb de reprises critique]]-RecetteTransport13[[#All],[Nb de reprises validées Critique]]</f>
        <v>0</v>
      </c>
      <c r="AY40" s="11">
        <f>RecetteTransport13[[#All],[Nb de reprises Restantes Mineur]]+RecetteTransport13[[#All],[Nb de reprises Restantes Majeur]]+RecetteTransport13[[#All],[Nb de reprises Restantes Critique]]</f>
        <v>0</v>
      </c>
      <c r="BA40" s="6" t="e">
        <f>RecetteTransport13[[#All],[Nb de reprises Optiques]]/RecetteTransport13[[#All],[Nb de CR]]</f>
        <v>#DIV/0!</v>
      </c>
      <c r="BC40"/>
      <c r="BD40" s="6"/>
      <c r="BF40" s="6">
        <f>RecetteTransport13[[#This Row],[Nb de reprises Optiques]]-RecetteTransport13[[#This Row],[Nb de reprises Optiques validées]]</f>
        <v>0</v>
      </c>
      <c r="BG40" s="6"/>
      <c r="BH40"/>
    </row>
    <row r="41" spans="1:60" x14ac:dyDescent="0.3">
      <c r="A41" t="s">
        <v>12</v>
      </c>
      <c r="B41" t="s">
        <v>13</v>
      </c>
      <c r="C41" t="s">
        <v>260</v>
      </c>
      <c r="D41" t="s">
        <v>46</v>
      </c>
      <c r="E41" t="s">
        <v>102</v>
      </c>
      <c r="F41" s="11"/>
      <c r="G41" s="11"/>
      <c r="H41" s="11">
        <f>RecetteTransport13[[#All],[Nb de reprises restantes]]</f>
        <v>0</v>
      </c>
      <c r="I41" s="11">
        <f>RecetteTransport13[[#All],[Nb de reprises Restantes Critique]]</f>
        <v>0</v>
      </c>
      <c r="J41" s="11">
        <f>RecetteTransport13[[#All],[Nb de reprises optiques Restantes]]</f>
        <v>0</v>
      </c>
      <c r="K41" t="s">
        <v>65</v>
      </c>
      <c r="M41" s="2">
        <v>43818</v>
      </c>
      <c r="N41" s="11">
        <v>61</v>
      </c>
      <c r="O41">
        <v>61</v>
      </c>
      <c r="P41" s="2">
        <f>RecetteTransport13[[#All],[Date de demande de Recette]]+10</f>
        <v>43828</v>
      </c>
      <c r="Q41" s="2"/>
      <c r="R41" s="44"/>
      <c r="S41" s="2"/>
      <c r="T41" s="2" t="s">
        <v>250</v>
      </c>
      <c r="U41" s="2" t="s">
        <v>250</v>
      </c>
      <c r="V41" s="2" t="s">
        <v>250</v>
      </c>
      <c r="W41" s="2"/>
      <c r="Y41" s="1">
        <f>RecetteTransport13[[#All],[Nb Objets controlés]]/RecetteTransport13[[#All],[Nb Objets Total]]</f>
        <v>0</v>
      </c>
      <c r="Z41" s="1">
        <f>RecetteTransport13[[#All],[Nb Objets controlés]]/RecetteTransport13[[#All],[Nb Objets Réalisés]]</f>
        <v>0</v>
      </c>
      <c r="AC41" s="11">
        <f>RecetteTransport13[[#All],[Nb de CR]]-RecetteTransport13[[#All],[Nb de CR non conforme]]</f>
        <v>0</v>
      </c>
      <c r="AD41" s="1" t="e">
        <f>RecetteTransport13[[#All],[Nb de CR conformes]]/RecetteTransport13[[#All],[Nb de CR]]</f>
        <v>#DIV/0!</v>
      </c>
      <c r="AE41" s="1" t="e">
        <f>RecetteTransport13[[#All],[Nb de CR non conforme]]/RecetteTransport13[[#All],[Nb de CR]]</f>
        <v>#DIV/0!</v>
      </c>
      <c r="AF41" s="11"/>
      <c r="AG41" s="11"/>
      <c r="AH41" s="6" t="e">
        <f>RecetteTransport13[[#All],[Nb de reprises lors de l''audit]]/RecetteTransport13[[#All],[Nb de CR]]</f>
        <v>#DIV/0!</v>
      </c>
      <c r="AI41" s="11"/>
      <c r="AK41" s="1" t="e">
        <f>RecetteTransport13[[#All],[ Nb Reprise Mineur]]/RecetteTransport13[[#All],[Nb de reprises total]]</f>
        <v>#DIV/0!</v>
      </c>
      <c r="AL41" s="11"/>
      <c r="AM41" s="1" t="e">
        <f>RecetteTransport13[[#All],[Nb Reprise Majeur]]/RecetteTransport13[[#All],[Nb de reprises total]]</f>
        <v>#DIV/0!</v>
      </c>
      <c r="AN41" s="11"/>
      <c r="AO41" s="1" t="e">
        <f>RecetteTransport13[[#All],[Nb de reprises critique]]/RecetteTransport13[[#All],[Nb de reprises total]]</f>
        <v>#DIV/0!</v>
      </c>
      <c r="AP41" s="6" t="e">
        <f>RecetteTransport13[[#All],[Nb de reprises critique]]/RecetteTransport13[[#All],[Nb de reprises total]]</f>
        <v>#DIV/0!</v>
      </c>
      <c r="AQ41" s="1"/>
      <c r="AR41" s="2"/>
      <c r="AS41" s="11"/>
      <c r="AT41" s="11">
        <f>RecetteTransport13[[#All],[ Nb Reprise Mineur]]-RecetteTransport13[[#All],[Nb de reprises validées Mineur]]</f>
        <v>0</v>
      </c>
      <c r="AU41" s="11"/>
      <c r="AV41" s="11">
        <f>RecetteTransport13[[#This Row],[Nb Reprise Majeur]]-RecetteTransport13[[#This Row],[Nb de reprises validées Majeur]]</f>
        <v>0</v>
      </c>
      <c r="AX41" s="11">
        <f>RecetteTransport13[[#All],[Nb de reprises critique]]-RecetteTransport13[[#All],[Nb de reprises validées Critique]]</f>
        <v>0</v>
      </c>
      <c r="AY41" s="11">
        <f>RecetteTransport13[[#All],[Nb de reprises Restantes Mineur]]+RecetteTransport13[[#All],[Nb de reprises Restantes Majeur]]+RecetteTransport13[[#All],[Nb de reprises Restantes Critique]]</f>
        <v>0</v>
      </c>
      <c r="BA41" s="6" t="e">
        <f>RecetteTransport13[[#All],[Nb de reprises Optiques]]/RecetteTransport13[[#All],[Nb de CR]]</f>
        <v>#DIV/0!</v>
      </c>
      <c r="BC41"/>
      <c r="BD41" s="6"/>
      <c r="BF41" s="6">
        <f>RecetteTransport13[[#This Row],[Nb de reprises Optiques]]-RecetteTransport13[[#This Row],[Nb de reprises Optiques validées]]</f>
        <v>0</v>
      </c>
      <c r="BG41" s="6"/>
      <c r="BH41"/>
    </row>
    <row r="42" spans="1:60" x14ac:dyDescent="0.3">
      <c r="A42" t="s">
        <v>12</v>
      </c>
      <c r="B42" t="s">
        <v>13</v>
      </c>
      <c r="C42" t="s">
        <v>260</v>
      </c>
      <c r="D42" t="s">
        <v>46</v>
      </c>
      <c r="E42" t="s">
        <v>103</v>
      </c>
      <c r="F42" s="11"/>
      <c r="G42" s="11"/>
      <c r="H42" s="11">
        <f>RecetteTransport13[[#All],[Nb de reprises restantes]]</f>
        <v>0</v>
      </c>
      <c r="I42" s="11">
        <f>RecetteTransport13[[#All],[Nb de reprises Restantes Critique]]</f>
        <v>0</v>
      </c>
      <c r="J42" s="11">
        <f>RecetteTransport13[[#All],[Nb de reprises optiques Restantes]]</f>
        <v>0</v>
      </c>
      <c r="K42" t="s">
        <v>65</v>
      </c>
      <c r="M42" s="2">
        <v>43818</v>
      </c>
      <c r="N42" s="11">
        <v>61</v>
      </c>
      <c r="O42">
        <v>61</v>
      </c>
      <c r="P42" s="2">
        <f>RecetteTransport13[[#All],[Date de demande de Recette]]+10</f>
        <v>43828</v>
      </c>
      <c r="Q42" s="2"/>
      <c r="R42" s="44"/>
      <c r="S42" s="2"/>
      <c r="T42" s="2" t="s">
        <v>250</v>
      </c>
      <c r="U42" s="2" t="s">
        <v>250</v>
      </c>
      <c r="V42" s="2" t="s">
        <v>250</v>
      </c>
      <c r="W42" s="2"/>
      <c r="Y42" s="1">
        <f>RecetteTransport13[[#All],[Nb Objets controlés]]/RecetteTransport13[[#All],[Nb Objets Total]]</f>
        <v>0</v>
      </c>
      <c r="Z42" s="1">
        <f>RecetteTransport13[[#All],[Nb Objets controlés]]/RecetteTransport13[[#All],[Nb Objets Réalisés]]</f>
        <v>0</v>
      </c>
      <c r="AC42" s="11">
        <f>RecetteTransport13[[#All],[Nb de CR]]-RecetteTransport13[[#All],[Nb de CR non conforme]]</f>
        <v>0</v>
      </c>
      <c r="AD42" s="1" t="e">
        <f>RecetteTransport13[[#All],[Nb de CR conformes]]/RecetteTransport13[[#All],[Nb de CR]]</f>
        <v>#DIV/0!</v>
      </c>
      <c r="AE42" s="1" t="e">
        <f>RecetteTransport13[[#All],[Nb de CR non conforme]]/RecetteTransport13[[#All],[Nb de CR]]</f>
        <v>#DIV/0!</v>
      </c>
      <c r="AF42" s="11"/>
      <c r="AG42" s="11"/>
      <c r="AH42" s="6" t="e">
        <f>RecetteTransport13[[#All],[Nb de reprises lors de l''audit]]/RecetteTransport13[[#All],[Nb de CR]]</f>
        <v>#DIV/0!</v>
      </c>
      <c r="AI42" s="11"/>
      <c r="AK42" s="1" t="e">
        <f>RecetteTransport13[[#All],[ Nb Reprise Mineur]]/RecetteTransport13[[#All],[Nb de reprises total]]</f>
        <v>#DIV/0!</v>
      </c>
      <c r="AL42" s="11"/>
      <c r="AM42" s="1" t="e">
        <f>RecetteTransport13[[#All],[Nb Reprise Majeur]]/RecetteTransport13[[#All],[Nb de reprises total]]</f>
        <v>#DIV/0!</v>
      </c>
      <c r="AN42" s="11"/>
      <c r="AO42" s="1" t="e">
        <f>RecetteTransport13[[#All],[Nb de reprises critique]]/RecetteTransport13[[#All],[Nb de reprises total]]</f>
        <v>#DIV/0!</v>
      </c>
      <c r="AP42" s="6" t="e">
        <f>RecetteTransport13[[#All],[Nb de reprises critique]]/RecetteTransport13[[#All],[Nb de reprises total]]</f>
        <v>#DIV/0!</v>
      </c>
      <c r="AQ42" s="1"/>
      <c r="AR42" s="2"/>
      <c r="AS42" s="11"/>
      <c r="AT42" s="11">
        <f>RecetteTransport13[[#All],[ Nb Reprise Mineur]]-RecetteTransport13[[#All],[Nb de reprises validées Mineur]]</f>
        <v>0</v>
      </c>
      <c r="AU42" s="11"/>
      <c r="AV42" s="11">
        <f>RecetteTransport13[[#This Row],[Nb Reprise Majeur]]-RecetteTransport13[[#This Row],[Nb de reprises validées Majeur]]</f>
        <v>0</v>
      </c>
      <c r="AX42" s="11">
        <f>RecetteTransport13[[#All],[Nb de reprises critique]]-RecetteTransport13[[#All],[Nb de reprises validées Critique]]</f>
        <v>0</v>
      </c>
      <c r="AY42" s="11">
        <f>RecetteTransport13[[#All],[Nb de reprises Restantes Mineur]]+RecetteTransport13[[#All],[Nb de reprises Restantes Majeur]]+RecetteTransport13[[#All],[Nb de reprises Restantes Critique]]</f>
        <v>0</v>
      </c>
      <c r="BA42" s="6" t="e">
        <f>RecetteTransport13[[#All],[Nb de reprises Optiques]]/RecetteTransport13[[#All],[Nb de CR]]</f>
        <v>#DIV/0!</v>
      </c>
      <c r="BC42"/>
      <c r="BD42" s="6"/>
      <c r="BF42" s="6">
        <f>RecetteTransport13[[#This Row],[Nb de reprises Optiques]]-RecetteTransport13[[#This Row],[Nb de reprises Optiques validées]]</f>
        <v>0</v>
      </c>
      <c r="BG42" s="6"/>
      <c r="BH42"/>
    </row>
    <row r="43" spans="1:60" x14ac:dyDescent="0.3">
      <c r="A43" t="s">
        <v>12</v>
      </c>
      <c r="B43" t="s">
        <v>13</v>
      </c>
      <c r="C43" t="s">
        <v>260</v>
      </c>
      <c r="D43" t="s">
        <v>46</v>
      </c>
      <c r="E43" t="s">
        <v>262</v>
      </c>
      <c r="F43" s="11"/>
      <c r="G43" s="11"/>
      <c r="H43" s="11">
        <f>RecetteTransport13[[#All],[Nb de reprises restantes]]</f>
        <v>0</v>
      </c>
      <c r="I43" s="11">
        <f>RecetteTransport13[[#All],[Nb de reprises Restantes Critique]]</f>
        <v>0</v>
      </c>
      <c r="J43" s="11">
        <f>RecetteTransport13[[#All],[Nb de reprises optiques Restantes]]</f>
        <v>0</v>
      </c>
      <c r="K43" t="s">
        <v>65</v>
      </c>
      <c r="M43" s="2">
        <v>43818</v>
      </c>
      <c r="N43" s="11">
        <v>61</v>
      </c>
      <c r="O43">
        <v>61</v>
      </c>
      <c r="P43" s="2">
        <f>RecetteTransport13[[#All],[Date de demande de Recette]]+10</f>
        <v>43828</v>
      </c>
      <c r="Q43" s="2"/>
      <c r="R43" s="44"/>
      <c r="S43" s="2"/>
      <c r="T43" s="2" t="s">
        <v>250</v>
      </c>
      <c r="U43" s="2" t="s">
        <v>250</v>
      </c>
      <c r="V43" s="2" t="s">
        <v>250</v>
      </c>
      <c r="W43" s="2"/>
      <c r="Y43" s="1">
        <f>RecetteTransport13[[#All],[Nb Objets controlés]]/RecetteTransport13[[#All],[Nb Objets Total]]</f>
        <v>0</v>
      </c>
      <c r="Z43" s="1">
        <f>RecetteTransport13[[#All],[Nb Objets controlés]]/RecetteTransport13[[#All],[Nb Objets Réalisés]]</f>
        <v>0</v>
      </c>
      <c r="AC43" s="11">
        <f>RecetteTransport13[[#All],[Nb de CR]]-RecetteTransport13[[#All],[Nb de CR non conforme]]</f>
        <v>0</v>
      </c>
      <c r="AD43" s="1" t="e">
        <f>RecetteTransport13[[#All],[Nb de CR conformes]]/RecetteTransport13[[#All],[Nb de CR]]</f>
        <v>#DIV/0!</v>
      </c>
      <c r="AE43" s="1" t="e">
        <f>RecetteTransport13[[#All],[Nb de CR non conforme]]/RecetteTransport13[[#All],[Nb de CR]]</f>
        <v>#DIV/0!</v>
      </c>
      <c r="AF43" s="11"/>
      <c r="AG43" s="11"/>
      <c r="AH43" s="6" t="e">
        <f>RecetteTransport13[[#All],[Nb de reprises lors de l''audit]]/RecetteTransport13[[#All],[Nb de CR]]</f>
        <v>#DIV/0!</v>
      </c>
      <c r="AI43" s="11"/>
      <c r="AK43" s="1" t="e">
        <f>RecetteTransport13[[#All],[ Nb Reprise Mineur]]/RecetteTransport13[[#All],[Nb de reprises total]]</f>
        <v>#DIV/0!</v>
      </c>
      <c r="AL43" s="11"/>
      <c r="AM43" s="1" t="e">
        <f>RecetteTransport13[[#All],[Nb Reprise Majeur]]/RecetteTransport13[[#All],[Nb de reprises total]]</f>
        <v>#DIV/0!</v>
      </c>
      <c r="AN43" s="11"/>
      <c r="AO43" s="1" t="e">
        <f>RecetteTransport13[[#All],[Nb de reprises critique]]/RecetteTransport13[[#All],[Nb de reprises total]]</f>
        <v>#DIV/0!</v>
      </c>
      <c r="AP43" s="6" t="e">
        <f>RecetteTransport13[[#All],[Nb de reprises critique]]/RecetteTransport13[[#All],[Nb de reprises total]]</f>
        <v>#DIV/0!</v>
      </c>
      <c r="AQ43" s="1"/>
      <c r="AR43" s="2"/>
      <c r="AS43" s="11"/>
      <c r="AT43" s="11">
        <f>RecetteTransport13[[#All],[ Nb Reprise Mineur]]-RecetteTransport13[[#All],[Nb de reprises validées Mineur]]</f>
        <v>0</v>
      </c>
      <c r="AU43" s="11"/>
      <c r="AV43" s="11">
        <f>RecetteTransport13[[#This Row],[Nb Reprise Majeur]]-RecetteTransport13[[#This Row],[Nb de reprises validées Majeur]]</f>
        <v>0</v>
      </c>
      <c r="AX43" s="11">
        <f>RecetteTransport13[[#All],[Nb de reprises critique]]-RecetteTransport13[[#All],[Nb de reprises validées Critique]]</f>
        <v>0</v>
      </c>
      <c r="AY43" s="11">
        <f>RecetteTransport13[[#All],[Nb de reprises Restantes Mineur]]+RecetteTransport13[[#All],[Nb de reprises Restantes Majeur]]+RecetteTransport13[[#All],[Nb de reprises Restantes Critique]]</f>
        <v>0</v>
      </c>
      <c r="BA43" s="6" t="e">
        <f>RecetteTransport13[[#All],[Nb de reprises Optiques]]/RecetteTransport13[[#All],[Nb de CR]]</f>
        <v>#DIV/0!</v>
      </c>
      <c r="BC43"/>
      <c r="BD43" s="6"/>
      <c r="BF43" s="6">
        <f>RecetteTransport13[[#This Row],[Nb de reprises Optiques]]-RecetteTransport13[[#This Row],[Nb de reprises Optiques validées]]</f>
        <v>0</v>
      </c>
      <c r="BG43" s="6"/>
      <c r="BH43"/>
    </row>
    <row r="44" spans="1:60" x14ac:dyDescent="0.3">
      <c r="A44" t="s">
        <v>12</v>
      </c>
      <c r="B44" t="s">
        <v>13</v>
      </c>
      <c r="C44" t="s">
        <v>260</v>
      </c>
      <c r="D44" t="s">
        <v>46</v>
      </c>
      <c r="E44" t="s">
        <v>205</v>
      </c>
      <c r="F44" s="11"/>
      <c r="G44" s="11"/>
      <c r="H44" s="11">
        <f>RecetteTransport13[[#All],[Nb de reprises restantes]]</f>
        <v>0</v>
      </c>
      <c r="I44" s="11">
        <f>RecetteTransport13[[#All],[Nb de reprises Restantes Critique]]</f>
        <v>0</v>
      </c>
      <c r="J44" s="11">
        <f>RecetteTransport13[[#All],[Nb de reprises optiques Restantes]]</f>
        <v>0</v>
      </c>
      <c r="K44" t="s">
        <v>65</v>
      </c>
      <c r="M44" s="2">
        <v>43818</v>
      </c>
      <c r="N44" s="11">
        <v>61</v>
      </c>
      <c r="O44">
        <v>61</v>
      </c>
      <c r="P44" s="2">
        <f>RecetteTransport13[[#All],[Date de demande de Recette]]+10</f>
        <v>43828</v>
      </c>
      <c r="Q44" s="2"/>
      <c r="R44" s="44"/>
      <c r="S44" s="2"/>
      <c r="T44" s="2" t="s">
        <v>250</v>
      </c>
      <c r="U44" s="2" t="s">
        <v>250</v>
      </c>
      <c r="V44" s="2" t="s">
        <v>250</v>
      </c>
      <c r="W44" s="2"/>
      <c r="Y44" s="1">
        <f>RecetteTransport13[[#All],[Nb Objets controlés]]/RecetteTransport13[[#All],[Nb Objets Total]]</f>
        <v>0</v>
      </c>
      <c r="Z44" s="1">
        <f>RecetteTransport13[[#All],[Nb Objets controlés]]/RecetteTransport13[[#All],[Nb Objets Réalisés]]</f>
        <v>0</v>
      </c>
      <c r="AC44" s="11">
        <f>RecetteTransport13[[#All],[Nb de CR]]-RecetteTransport13[[#All],[Nb de CR non conforme]]</f>
        <v>0</v>
      </c>
      <c r="AD44" s="1" t="e">
        <f>RecetteTransport13[[#All],[Nb de CR conformes]]/RecetteTransport13[[#All],[Nb de CR]]</f>
        <v>#DIV/0!</v>
      </c>
      <c r="AE44" s="1" t="e">
        <f>RecetteTransport13[[#All],[Nb de CR non conforme]]/RecetteTransport13[[#All],[Nb de CR]]</f>
        <v>#DIV/0!</v>
      </c>
      <c r="AF44" s="11"/>
      <c r="AG44" s="11"/>
      <c r="AH44" s="6" t="e">
        <f>RecetteTransport13[[#All],[Nb de reprises lors de l''audit]]/RecetteTransport13[[#All],[Nb de CR]]</f>
        <v>#DIV/0!</v>
      </c>
      <c r="AI44" s="11"/>
      <c r="AK44" s="1" t="e">
        <f>RecetteTransport13[[#All],[ Nb Reprise Mineur]]/RecetteTransport13[[#All],[Nb de reprises total]]</f>
        <v>#DIV/0!</v>
      </c>
      <c r="AL44" s="11"/>
      <c r="AM44" s="1" t="e">
        <f>RecetteTransport13[[#All],[Nb Reprise Majeur]]/RecetteTransport13[[#All],[Nb de reprises total]]</f>
        <v>#DIV/0!</v>
      </c>
      <c r="AN44" s="11"/>
      <c r="AO44" s="1" t="e">
        <f>RecetteTransport13[[#All],[Nb de reprises critique]]/RecetteTransport13[[#All],[Nb de reprises total]]</f>
        <v>#DIV/0!</v>
      </c>
      <c r="AP44" s="6" t="e">
        <f>RecetteTransport13[[#All],[Nb de reprises critique]]/RecetteTransport13[[#All],[Nb de reprises total]]</f>
        <v>#DIV/0!</v>
      </c>
      <c r="AQ44" s="1"/>
      <c r="AR44" s="2"/>
      <c r="AS44" s="11"/>
      <c r="AT44" s="11">
        <f>RecetteTransport13[[#All],[ Nb Reprise Mineur]]-RecetteTransport13[[#All],[Nb de reprises validées Mineur]]</f>
        <v>0</v>
      </c>
      <c r="AU44" s="11"/>
      <c r="AV44" s="11">
        <f>RecetteTransport13[[#This Row],[Nb Reprise Majeur]]-RecetteTransport13[[#This Row],[Nb de reprises validées Majeur]]</f>
        <v>0</v>
      </c>
      <c r="AX44" s="11">
        <f>RecetteTransport13[[#All],[Nb de reprises critique]]-RecetteTransport13[[#All],[Nb de reprises validées Critique]]</f>
        <v>0</v>
      </c>
      <c r="AY44" s="11">
        <f>RecetteTransport13[[#All],[Nb de reprises Restantes Mineur]]+RecetteTransport13[[#All],[Nb de reprises Restantes Majeur]]+RecetteTransport13[[#All],[Nb de reprises Restantes Critique]]</f>
        <v>0</v>
      </c>
      <c r="BA44" s="6" t="e">
        <f>RecetteTransport13[[#All],[Nb de reprises Optiques]]/RecetteTransport13[[#All],[Nb de CR]]</f>
        <v>#DIV/0!</v>
      </c>
      <c r="BC44"/>
      <c r="BD44" s="6"/>
      <c r="BF44" s="6">
        <f>RecetteTransport13[[#This Row],[Nb de reprises Optiques]]-RecetteTransport13[[#This Row],[Nb de reprises Optiques validées]]</f>
        <v>0</v>
      </c>
      <c r="BG44" s="6"/>
      <c r="BH44"/>
    </row>
    <row r="45" spans="1:60" x14ac:dyDescent="0.3">
      <c r="A45" t="s">
        <v>12</v>
      </c>
      <c r="B45" t="s">
        <v>13</v>
      </c>
      <c r="C45" t="s">
        <v>260</v>
      </c>
      <c r="D45" t="s">
        <v>46</v>
      </c>
      <c r="E45" t="s">
        <v>104</v>
      </c>
      <c r="F45" s="11"/>
      <c r="G45" s="11"/>
      <c r="H45" s="11">
        <f>RecetteTransport13[[#All],[Nb de reprises restantes]]</f>
        <v>0</v>
      </c>
      <c r="I45" s="11">
        <f>RecetteTransport13[[#All],[Nb de reprises Restantes Critique]]</f>
        <v>0</v>
      </c>
      <c r="J45" s="11">
        <f>RecetteTransport13[[#All],[Nb de reprises optiques Restantes]]</f>
        <v>0</v>
      </c>
      <c r="K45" t="s">
        <v>65</v>
      </c>
      <c r="M45" s="2">
        <v>43818</v>
      </c>
      <c r="N45" s="11">
        <v>61</v>
      </c>
      <c r="O45">
        <v>61</v>
      </c>
      <c r="P45" s="2">
        <f>RecetteTransport13[[#All],[Date de demande de Recette]]+10</f>
        <v>43828</v>
      </c>
      <c r="Q45" s="2"/>
      <c r="R45" s="44"/>
      <c r="S45" s="2"/>
      <c r="T45" s="2" t="s">
        <v>250</v>
      </c>
      <c r="U45" s="2" t="s">
        <v>250</v>
      </c>
      <c r="V45" s="2" t="s">
        <v>250</v>
      </c>
      <c r="W45" s="2"/>
      <c r="Y45" s="1">
        <f>RecetteTransport13[[#All],[Nb Objets controlés]]/RecetteTransport13[[#All],[Nb Objets Total]]</f>
        <v>0</v>
      </c>
      <c r="Z45" s="1">
        <f>RecetteTransport13[[#All],[Nb Objets controlés]]/RecetteTransport13[[#All],[Nb Objets Réalisés]]</f>
        <v>0</v>
      </c>
      <c r="AC45" s="11">
        <f>RecetteTransport13[[#All],[Nb de CR]]-RecetteTransport13[[#All],[Nb de CR non conforme]]</f>
        <v>0</v>
      </c>
      <c r="AD45" s="1" t="e">
        <f>RecetteTransport13[[#All],[Nb de CR conformes]]/RecetteTransport13[[#All],[Nb de CR]]</f>
        <v>#DIV/0!</v>
      </c>
      <c r="AE45" s="1" t="e">
        <f>RecetteTransport13[[#All],[Nb de CR non conforme]]/RecetteTransport13[[#All],[Nb de CR]]</f>
        <v>#DIV/0!</v>
      </c>
      <c r="AF45" s="11"/>
      <c r="AG45" s="11"/>
      <c r="AH45" s="6" t="e">
        <f>RecetteTransport13[[#All],[Nb de reprises lors de l''audit]]/RecetteTransport13[[#All],[Nb de CR]]</f>
        <v>#DIV/0!</v>
      </c>
      <c r="AI45" s="11"/>
      <c r="AK45" s="1" t="e">
        <f>RecetteTransport13[[#All],[ Nb Reprise Mineur]]/RecetteTransport13[[#All],[Nb de reprises total]]</f>
        <v>#DIV/0!</v>
      </c>
      <c r="AL45" s="11"/>
      <c r="AM45" s="1" t="e">
        <f>RecetteTransport13[[#All],[Nb Reprise Majeur]]/RecetteTransport13[[#All],[Nb de reprises total]]</f>
        <v>#DIV/0!</v>
      </c>
      <c r="AN45" s="11"/>
      <c r="AO45" s="1" t="e">
        <f>RecetteTransport13[[#All],[Nb de reprises critique]]/RecetteTransport13[[#All],[Nb de reprises total]]</f>
        <v>#DIV/0!</v>
      </c>
      <c r="AP45" s="6" t="e">
        <f>RecetteTransport13[[#All],[Nb de reprises critique]]/RecetteTransport13[[#All],[Nb de reprises total]]</f>
        <v>#DIV/0!</v>
      </c>
      <c r="AQ45" s="1"/>
      <c r="AR45" s="2"/>
      <c r="AS45" s="11"/>
      <c r="AT45" s="11">
        <f>RecetteTransport13[[#All],[ Nb Reprise Mineur]]-RecetteTransport13[[#All],[Nb de reprises validées Mineur]]</f>
        <v>0</v>
      </c>
      <c r="AU45" s="11"/>
      <c r="AV45" s="11">
        <f>RecetteTransport13[[#This Row],[Nb Reprise Majeur]]-RecetteTransport13[[#This Row],[Nb de reprises validées Majeur]]</f>
        <v>0</v>
      </c>
      <c r="AX45" s="11">
        <f>RecetteTransport13[[#All],[Nb de reprises critique]]-RecetteTransport13[[#All],[Nb de reprises validées Critique]]</f>
        <v>0</v>
      </c>
      <c r="AY45" s="11">
        <f>RecetteTransport13[[#All],[Nb de reprises Restantes Mineur]]+RecetteTransport13[[#All],[Nb de reprises Restantes Majeur]]+RecetteTransport13[[#All],[Nb de reprises Restantes Critique]]</f>
        <v>0</v>
      </c>
      <c r="BA45" s="6" t="e">
        <f>RecetteTransport13[[#All],[Nb de reprises Optiques]]/RecetteTransport13[[#All],[Nb de CR]]</f>
        <v>#DIV/0!</v>
      </c>
      <c r="BC45"/>
      <c r="BD45" s="6"/>
      <c r="BF45" s="6">
        <f>RecetteTransport13[[#This Row],[Nb de reprises Optiques]]-RecetteTransport13[[#This Row],[Nb de reprises Optiques validées]]</f>
        <v>0</v>
      </c>
      <c r="BG45" s="6"/>
      <c r="BH45"/>
    </row>
    <row r="46" spans="1:60" hidden="1" x14ac:dyDescent="0.3">
      <c r="A46" t="s">
        <v>12</v>
      </c>
      <c r="B46" t="s">
        <v>21</v>
      </c>
      <c r="C46" t="s">
        <v>263</v>
      </c>
      <c r="D46" t="s">
        <v>56</v>
      </c>
      <c r="E46" t="s">
        <v>263</v>
      </c>
      <c r="F46" s="11"/>
      <c r="G46" s="11"/>
      <c r="H46" s="11">
        <f>RecetteTransport13[[#All],[Nb de reprises restantes]]</f>
        <v>0</v>
      </c>
      <c r="I46" s="11">
        <f>RecetteTransport13[[#All],[Nb de reprises Restantes Critique]]</f>
        <v>0</v>
      </c>
      <c r="J46" s="11">
        <f>RecetteTransport13[[#All],[Nb de reprises optiques Restantes]]</f>
        <v>0</v>
      </c>
      <c r="M46" s="2">
        <v>43868</v>
      </c>
      <c r="P46" s="2">
        <f>RecetteTransport13[[#All],[Date de demande de Recette]]+10</f>
        <v>43878</v>
      </c>
      <c r="Q46" s="2"/>
      <c r="R46" s="44"/>
      <c r="S46" s="44"/>
      <c r="T46" s="44"/>
      <c r="U46" s="44"/>
      <c r="V46" s="2"/>
      <c r="W46" s="2"/>
      <c r="Y46" s="1" t="e">
        <f>RecetteTransport13[[#All],[Nb Objets controlés]]/RecetteTransport13[[#All],[Nb Objets Total]]</f>
        <v>#DIV/0!</v>
      </c>
      <c r="Z46" s="1" t="e">
        <f>RecetteTransport13[[#All],[Nb Objets controlés]]/RecetteTransport13[[#All],[Nb Objets Réalisés]]</f>
        <v>#DIV/0!</v>
      </c>
      <c r="AC46" s="11">
        <f>RecetteTransport13[[#All],[Nb de CR]]-RecetteTransport13[[#All],[Nb de CR non conforme]]</f>
        <v>0</v>
      </c>
      <c r="AD46" s="1" t="e">
        <f>RecetteTransport13[[#All],[Nb de CR conformes]]/RecetteTransport13[[#All],[Nb de CR]]</f>
        <v>#DIV/0!</v>
      </c>
      <c r="AE46" s="1" t="e">
        <f>RecetteTransport13[[#All],[Nb de CR non conforme]]/RecetteTransport13[[#All],[Nb de CR]]</f>
        <v>#DIV/0!</v>
      </c>
      <c r="AF46" s="11"/>
      <c r="AG46" s="11"/>
      <c r="AH46" s="6" t="e">
        <f>RecetteTransport13[[#All],[Nb de reprises lors de l''audit]]/RecetteTransport13[[#All],[Nb de CR]]</f>
        <v>#DIV/0!</v>
      </c>
      <c r="AI46" s="11"/>
      <c r="AK46" s="1" t="e">
        <f>RecetteTransport13[[#All],[ Nb Reprise Mineur]]/RecetteTransport13[[#All],[Nb de reprises total]]</f>
        <v>#DIV/0!</v>
      </c>
      <c r="AM46" s="1" t="e">
        <f>RecetteTransport13[[#All],[Nb Reprise Majeur]]/RecetteTransport13[[#All],[Nb de reprises total]]</f>
        <v>#DIV/0!</v>
      </c>
      <c r="AN46" s="11"/>
      <c r="AO46" s="1" t="e">
        <f>RecetteTransport13[[#All],[Nb de reprises critique]]/RecetteTransport13[[#All],[Nb de reprises total]]</f>
        <v>#DIV/0!</v>
      </c>
      <c r="AP46" s="6" t="e">
        <f>RecetteTransport13[[#All],[Nb de reprises critique]]/RecetteTransport13[[#All],[Nb de reprises total]]</f>
        <v>#DIV/0!</v>
      </c>
      <c r="AQ46" s="1"/>
      <c r="AR46" s="2"/>
      <c r="AS46" s="11"/>
      <c r="AT46" s="11">
        <f>RecetteTransport13[[#All],[ Nb Reprise Mineur]]-RecetteTransport13[[#All],[Nb de reprises validées Mineur]]</f>
        <v>0</v>
      </c>
      <c r="AU46" s="11"/>
      <c r="AV46" s="11">
        <f>RecetteTransport13[[#This Row],[Nb Reprise Majeur]]-RecetteTransport13[[#This Row],[Nb de reprises validées Majeur]]</f>
        <v>0</v>
      </c>
      <c r="AX46" s="11">
        <f>RecetteTransport13[[#All],[Nb de reprises critique]]-RecetteTransport13[[#All],[Nb de reprises validées Critique]]</f>
        <v>0</v>
      </c>
      <c r="AY46" s="11">
        <f>RecetteTransport13[[#All],[Nb de reprises Restantes Mineur]]+RecetteTransport13[[#All],[Nb de reprises Restantes Majeur]]+RecetteTransport13[[#All],[Nb de reprises Restantes Critique]]</f>
        <v>0</v>
      </c>
      <c r="BA46" s="6" t="e">
        <f>RecetteTransport13[[#All],[Nb de reprises Optiques]]/RecetteTransport13[[#All],[Nb de CR]]</f>
        <v>#DIV/0!</v>
      </c>
      <c r="BD46" s="6"/>
      <c r="BF46" s="6">
        <f>RecetteTransport13[[#This Row],[Nb de reprises Optiques]]-RecetteTransport13[[#This Row],[Nb de reprises Optiques validées]]</f>
        <v>0</v>
      </c>
    </row>
  </sheetData>
  <conditionalFormatting sqref="H1:J1048576">
    <cfRule type="cellIs" dxfId="40" priority="2" operator="equal">
      <formula>0</formula>
    </cfRule>
  </conditionalFormatting>
  <conditionalFormatting sqref="I1:I1048576">
    <cfRule type="cellIs" dxfId="39" priority="1" operator="greaterThan">
      <formula>0</formula>
    </cfRule>
  </conditionalFormatting>
  <conditionalFormatting sqref="F1:G1048576">
    <cfRule type="containsBlanks" dxfId="38" priority="3">
      <formula>LEN(TRIM(F1))=0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14589-96D4-4E4A-826E-3F35B21EB0E8}">
  <sheetPr codeName="Feuil5"/>
  <dimension ref="A1:AH28"/>
  <sheetViews>
    <sheetView tabSelected="1" workbookViewId="0">
      <selection activeCell="M7" sqref="M7"/>
    </sheetView>
  </sheetViews>
  <sheetFormatPr baseColWidth="10" defaultRowHeight="14.4" x14ac:dyDescent="0.3"/>
  <cols>
    <col min="1" max="1" width="11.5546875" style="58"/>
    <col min="2" max="2" width="34.33203125" style="53" bestFit="1" customWidth="1"/>
    <col min="3" max="3" width="19.21875" style="53" customWidth="1"/>
    <col min="4" max="4" width="10.21875" style="53" bestFit="1" customWidth="1"/>
    <col min="5" max="5" width="16.44140625" style="53" bestFit="1" customWidth="1"/>
    <col min="6" max="6" width="19.44140625" style="53" customWidth="1"/>
    <col min="7" max="7" width="15.109375" style="53" bestFit="1" customWidth="1"/>
    <col min="8" max="8" width="14" style="53" bestFit="1" customWidth="1"/>
    <col min="9" max="9" width="9.21875" style="53" bestFit="1" customWidth="1"/>
    <col min="10" max="10" width="10.88671875" style="53" bestFit="1" customWidth="1"/>
    <col min="11" max="12" width="11.5546875" style="53"/>
    <col min="13" max="13" width="45" style="53" customWidth="1"/>
    <col min="14" max="16384" width="11.5546875" style="53"/>
  </cols>
  <sheetData>
    <row r="1" spans="1:34" s="95" customFormat="1" ht="25.8" customHeight="1" x14ac:dyDescent="0.3">
      <c r="A1" s="58" t="s">
        <v>415</v>
      </c>
      <c r="B1" s="3" t="str">
        <f>C1&amp;B10</f>
        <v>Voici les Tableaux d'avancement des recettes et des reprises de S10</v>
      </c>
      <c r="C1" s="3" t="s">
        <v>307</v>
      </c>
      <c r="D1" s="95" t="s">
        <v>427</v>
      </c>
    </row>
    <row r="2" spans="1:34" ht="23.4" x14ac:dyDescent="0.3">
      <c r="B2" s="59" t="s">
        <v>306</v>
      </c>
      <c r="C2" s="60"/>
      <c r="D2" s="60"/>
      <c r="E2" s="60"/>
      <c r="F2" s="60"/>
      <c r="G2" s="58"/>
      <c r="H2" s="58"/>
      <c r="I2" s="58"/>
      <c r="J2" s="58"/>
    </row>
    <row r="3" spans="1:34" ht="49.2" customHeight="1" x14ac:dyDescent="0.3">
      <c r="B3" s="124" t="str">
        <f>D1&amp;B10</f>
        <v>dans le  corps de cet email, vous trouverez les réalisations d'audit transport de la S10</v>
      </c>
      <c r="C3" s="124"/>
      <c r="D3" s="124"/>
      <c r="E3" s="124"/>
      <c r="F3" s="124"/>
      <c r="G3" s="58"/>
      <c r="H3" s="58"/>
      <c r="I3" s="58"/>
      <c r="J3" s="58"/>
    </row>
    <row r="4" spans="1:34" x14ac:dyDescent="0.3">
      <c r="B4" s="56"/>
      <c r="C4" s="56"/>
      <c r="D4" s="56"/>
      <c r="E4" s="56"/>
      <c r="F4" s="56"/>
      <c r="G4" s="58"/>
      <c r="H4" s="58"/>
      <c r="I4" s="58"/>
      <c r="J4" s="58"/>
      <c r="K4" s="58"/>
    </row>
    <row r="5" spans="1:34" s="57" customFormat="1" ht="12.6" customHeight="1" x14ac:dyDescent="0.3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M5" s="3"/>
      <c r="N5" s="3"/>
    </row>
    <row r="6" spans="1:34" ht="12.6" customHeight="1" thickBot="1" x14ac:dyDescent="0.35">
      <c r="B6" s="58"/>
      <c r="C6" s="58"/>
      <c r="D6" s="58"/>
      <c r="E6" s="58"/>
      <c r="F6" s="58"/>
      <c r="G6" s="58"/>
      <c r="H6" s="58"/>
      <c r="I6" s="58"/>
      <c r="J6" s="58"/>
      <c r="K6" s="58"/>
      <c r="M6" s="3"/>
      <c r="N6" s="3"/>
    </row>
    <row r="7" spans="1:34" x14ac:dyDescent="0.3">
      <c r="B7" s="114" t="str">
        <f xml:space="preserve"> "Réalisation Audit Transport Semaine " &amp; B10</f>
        <v>Réalisation Audit Transport Semaine 10</v>
      </c>
      <c r="C7" s="115"/>
      <c r="D7" s="58"/>
      <c r="E7" s="58"/>
      <c r="F7" s="58"/>
      <c r="G7" s="58"/>
      <c r="H7" s="58"/>
      <c r="I7" s="58"/>
      <c r="J7" s="58"/>
      <c r="K7" s="58"/>
    </row>
    <row r="8" spans="1:34" ht="15" thickBot="1" x14ac:dyDescent="0.35">
      <c r="B8" s="116"/>
      <c r="C8" s="117"/>
      <c r="D8" s="58"/>
      <c r="E8" s="58"/>
      <c r="F8" s="58"/>
      <c r="G8" s="58"/>
      <c r="H8" s="58"/>
      <c r="I8" s="58"/>
      <c r="J8" s="58"/>
      <c r="K8" s="58"/>
    </row>
    <row r="9" spans="1:34" x14ac:dyDescent="0.3">
      <c r="B9" s="54" t="s">
        <v>294</v>
      </c>
      <c r="C9" s="55" t="s">
        <v>295</v>
      </c>
      <c r="D9" s="56"/>
      <c r="E9" s="56"/>
      <c r="F9" s="58"/>
      <c r="G9" s="58"/>
      <c r="H9" s="58"/>
      <c r="I9" s="58"/>
      <c r="J9" s="58"/>
      <c r="K9" s="58"/>
    </row>
    <row r="10" spans="1:34" ht="15" thickBot="1" x14ac:dyDescent="0.35">
      <c r="B10" s="70">
        <v>10</v>
      </c>
      <c r="C10" s="71">
        <v>2021</v>
      </c>
      <c r="D10" s="56"/>
      <c r="E10" s="56"/>
      <c r="F10" s="58"/>
      <c r="G10" s="58"/>
      <c r="H10" s="58"/>
      <c r="I10" s="58"/>
      <c r="J10" s="58"/>
      <c r="K10" s="58"/>
      <c r="M10" s="3"/>
    </row>
    <row r="11" spans="1:34" s="95" customFormat="1" ht="15" thickBot="1" x14ac:dyDescent="0.35">
      <c r="A11" s="58"/>
      <c r="B11" s="97"/>
      <c r="C11" s="56"/>
      <c r="D11" s="56"/>
      <c r="E11" s="56"/>
      <c r="F11" s="58"/>
      <c r="G11" s="58"/>
      <c r="H11" s="58"/>
      <c r="I11" s="58"/>
      <c r="J11" s="58"/>
      <c r="K11" s="58"/>
      <c r="M11" s="3"/>
    </row>
    <row r="12" spans="1:34" ht="15" thickBot="1" x14ac:dyDescent="0.35">
      <c r="B12" s="100" t="s">
        <v>414</v>
      </c>
      <c r="C12" s="100" t="s">
        <v>386</v>
      </c>
      <c r="D12" s="96" t="s">
        <v>412</v>
      </c>
      <c r="E12" s="100" t="s">
        <v>413</v>
      </c>
      <c r="F12" s="58"/>
      <c r="G12" s="58"/>
      <c r="H12" s="58"/>
      <c r="I12" s="58"/>
      <c r="J12" s="58"/>
      <c r="K12" s="58"/>
      <c r="L12" s="58"/>
      <c r="M12" s="58"/>
    </row>
    <row r="13" spans="1:34" x14ac:dyDescent="0.3">
      <c r="B13" s="101" t="s">
        <v>409</v>
      </c>
      <c r="C13" s="101">
        <f>COUNTIFS(Réflecto!W:W,B10,Réflecto!X:X,C10)</f>
        <v>15</v>
      </c>
      <c r="D13" s="103">
        <f>RecetteTransport2[[#Totals],[Mesure]]</f>
        <v>222</v>
      </c>
      <c r="E13" s="105">
        <f>Tableau4[[#This Row],[Total]]/755</f>
        <v>0.29403973509933773</v>
      </c>
      <c r="F13" s="58"/>
      <c r="G13" s="58"/>
      <c r="H13" s="58"/>
      <c r="I13" s="58"/>
      <c r="J13" s="58"/>
      <c r="K13" s="58"/>
      <c r="L13" s="58"/>
      <c r="M13" s="58"/>
    </row>
    <row r="14" spans="1:34" x14ac:dyDescent="0.3">
      <c r="B14" s="90" t="s">
        <v>410</v>
      </c>
      <c r="C14" s="90">
        <f>COUNTIFS(Réflecto!Z:Z,B10,Réflecto!AA:AA,C10)</f>
        <v>16</v>
      </c>
      <c r="D14" s="98">
        <f>RecetteTransport2[[#Totals],[DossierMesure]]</f>
        <v>211</v>
      </c>
      <c r="E14" s="106">
        <f>Tableau4[[#This Row],[Total]]/755</f>
        <v>0.27947019867549666</v>
      </c>
      <c r="F14" s="58"/>
      <c r="G14" s="58"/>
      <c r="H14" s="58"/>
      <c r="I14" s="58"/>
      <c r="J14" s="58"/>
      <c r="K14" s="58"/>
      <c r="L14" s="58"/>
      <c r="M14" s="58"/>
    </row>
    <row r="15" spans="1:34" s="95" customFormat="1" x14ac:dyDescent="0.3">
      <c r="A15" s="58"/>
      <c r="B15" s="102" t="s">
        <v>411</v>
      </c>
      <c r="C15" s="102">
        <f>COUNTIFS(Réflecto!G:G,"Fait",Réflecto!T:T,REPORTING!B10,Réflecto!U:U,REPORTING!C10)</f>
        <v>3</v>
      </c>
      <c r="D15" s="99">
        <f>RecetteTransport2[[#Totals],[Méca]]</f>
        <v>60</v>
      </c>
      <c r="E15" s="107">
        <f>Tableau4[[#This Row],[Total]]/755</f>
        <v>7.9470198675496692E-2</v>
      </c>
      <c r="F15" s="58"/>
      <c r="G15" s="58"/>
      <c r="H15" s="58"/>
      <c r="I15" s="58"/>
      <c r="J15" s="58"/>
      <c r="K15" s="58"/>
      <c r="L15" s="58"/>
      <c r="M15" s="58"/>
    </row>
    <row r="16" spans="1:34" x14ac:dyDescent="0.3">
      <c r="B16" s="90" t="s">
        <v>421</v>
      </c>
      <c r="C16" s="90">
        <f>SUMIFS(Méca!J:J,Méca!E:E,B10,Méca!F:F,C10)</f>
        <v>0</v>
      </c>
      <c r="D16" s="98">
        <f xml:space="preserve"> SUM(Méca!J:J)</f>
        <v>183</v>
      </c>
      <c r="E16" s="106" t="s">
        <v>426</v>
      </c>
      <c r="F16" s="58"/>
      <c r="G16" s="58"/>
      <c r="H16" s="58"/>
      <c r="I16" s="58"/>
      <c r="J16" s="58"/>
      <c r="K16" s="58"/>
      <c r="L16" s="58"/>
      <c r="M16" s="58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</row>
    <row r="17" spans="2:34" ht="15" thickBot="1" x14ac:dyDescent="0.35">
      <c r="B17" s="91" t="s">
        <v>418</v>
      </c>
      <c r="C17" s="91">
        <f>COUNTIFS(Réflecto!N:N,"Validé",Réflecto!P:P,B10,Réflecto!Q:Q,C10)</f>
        <v>19</v>
      </c>
      <c r="D17" s="104">
        <f>SUM(C23:I23)</f>
        <v>52</v>
      </c>
      <c r="E17" s="108">
        <f>Tableau4[[#This Row],[Total]]/755</f>
        <v>6.887417218543046E-2</v>
      </c>
      <c r="F17" s="58"/>
      <c r="G17" s="58"/>
      <c r="H17" s="58"/>
      <c r="I17" s="58"/>
      <c r="J17" s="58"/>
      <c r="K17" s="58"/>
      <c r="L17" s="58"/>
      <c r="M17" s="58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</row>
    <row r="18" spans="2:34" ht="15" thickBot="1" x14ac:dyDescent="0.35">
      <c r="B18" s="58"/>
      <c r="C18" s="58"/>
      <c r="D18" s="58"/>
      <c r="E18" s="58"/>
      <c r="F18" s="58"/>
      <c r="G18" s="58"/>
      <c r="H18" s="58"/>
      <c r="I18" s="58"/>
      <c r="J18" s="58"/>
      <c r="K18" s="58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</row>
    <row r="19" spans="2:34" x14ac:dyDescent="0.3">
      <c r="B19" s="118" t="s">
        <v>305</v>
      </c>
      <c r="C19" s="119"/>
      <c r="D19" s="119"/>
      <c r="E19" s="119"/>
      <c r="F19" s="119"/>
      <c r="G19" s="119"/>
      <c r="H19" s="119"/>
      <c r="I19" s="119"/>
      <c r="J19" s="120"/>
      <c r="K19" s="58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</row>
    <row r="20" spans="2:34" x14ac:dyDescent="0.3">
      <c r="B20" s="121"/>
      <c r="C20" s="122"/>
      <c r="D20" s="122"/>
      <c r="E20" s="122"/>
      <c r="F20" s="122"/>
      <c r="G20" s="122"/>
      <c r="H20" s="122"/>
      <c r="I20" s="122"/>
      <c r="J20" s="123"/>
      <c r="K20" s="58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</row>
    <row r="21" spans="2:34" x14ac:dyDescent="0.3">
      <c r="B21" s="67" t="s">
        <v>106</v>
      </c>
      <c r="C21" s="68" t="s">
        <v>21</v>
      </c>
      <c r="D21" s="68" t="s">
        <v>19</v>
      </c>
      <c r="E21" s="68" t="s">
        <v>225</v>
      </c>
      <c r="F21" s="68" t="s">
        <v>13</v>
      </c>
      <c r="G21" s="68" t="s">
        <v>20</v>
      </c>
      <c r="H21" s="68" t="s">
        <v>63</v>
      </c>
      <c r="I21" s="68" t="s">
        <v>15</v>
      </c>
      <c r="J21" s="69" t="s">
        <v>228</v>
      </c>
      <c r="K21" s="58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</row>
    <row r="22" spans="2:34" x14ac:dyDescent="0.3">
      <c r="B22" s="62" t="s">
        <v>304</v>
      </c>
      <c r="C22" s="61">
        <f>COUNTIFS(Réflecto!B:B,"ASPEN",Réflecto!N:N,"Validé",Réflecto!R:R,"Validé")</f>
        <v>0</v>
      </c>
      <c r="D22" s="61">
        <f>COUNTIFS(Réflecto!B:B,"BYON",Réflecto!N:N,"Validé",Réflecto!R:R,"Validé")</f>
        <v>0</v>
      </c>
      <c r="E22" s="61">
        <f>COUNTIFS(Réflecto!B:B,"FUZION",Réflecto!N:N,"Validé",Réflecto!R:R,"Validé")</f>
        <v>0</v>
      </c>
      <c r="F22" s="61">
        <f>COUNTIFS(Réflecto!B:B,"HERRAS",Réflecto!N:N,"Validé",Réflecto!R:R,"Validé")</f>
        <v>0</v>
      </c>
      <c r="G22" s="61">
        <f>COUNTIFS(Réflecto!B:B,"POLYKABEL",Réflecto!N:N,"Validé",Réflecto!R:R,"Validé")</f>
        <v>0</v>
      </c>
      <c r="H22" s="61">
        <f>COUNTIFS(Réflecto!B:B,"SOGETREL",Réflecto!N:N,"Validé",Réflecto!R:R,"Validé")</f>
        <v>0</v>
      </c>
      <c r="I22" s="61">
        <f>COUNTIFS(Réflecto!M:M,0,Réflecto!L:L,0,Réflecto!K:K,0,Réflecto!J:J,0,Réflecto!B:B,"SMT")</f>
        <v>0</v>
      </c>
      <c r="J22" s="63">
        <f>SUM(Tableau5[[#This Row],[ASPEN]:[SMT]])</f>
        <v>0</v>
      </c>
      <c r="K22" s="58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</row>
    <row r="23" spans="2:34" x14ac:dyDescent="0.3">
      <c r="B23" s="62" t="s">
        <v>302</v>
      </c>
      <c r="C23" s="61">
        <f>COUNTIFS(Réflecto!B:B,"ASPEN",Réflecto!N:N,"Validé")</f>
        <v>19</v>
      </c>
      <c r="D23" s="61">
        <f>COUNTIFS(Réflecto!B:B,"BYON",Réflecto!N:N,"Validé")</f>
        <v>15</v>
      </c>
      <c r="E23" s="61">
        <f>COUNTIFS(Réflecto!B:B,"FUZION",Réflecto!N:N,"Validé")</f>
        <v>0</v>
      </c>
      <c r="F23" s="61">
        <f>COUNTIFS(Réflecto!B:B,"FUZION",Réflecto!N:N,"Validé")</f>
        <v>0</v>
      </c>
      <c r="G23" s="61">
        <f>COUNTIFS(Réflecto!B:B,"POLYKABEL",Réflecto!N:N,"Validé")</f>
        <v>4</v>
      </c>
      <c r="H23" s="61">
        <f>COUNTIFS(Réflecto!B:B,"SOGETREL",Réflecto!N:N,"Validé")</f>
        <v>2</v>
      </c>
      <c r="I23" s="61">
        <f>COUNTIFS(Réflecto!B:B,"SMT",Réflecto!N:N,"Validé")</f>
        <v>12</v>
      </c>
      <c r="J23" s="63">
        <f>SUM(Tableau5[[#This Row],[ASPEN]:[SMT]])</f>
        <v>52</v>
      </c>
      <c r="K23" s="58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</row>
    <row r="24" spans="2:34" x14ac:dyDescent="0.3">
      <c r="B24" s="64" t="s">
        <v>303</v>
      </c>
      <c r="C24" s="65">
        <f>COUNTIFS(Réflecto!B:B,"ASPEN",Réflecto!R:R,"Validé")</f>
        <v>0</v>
      </c>
      <c r="D24" s="65">
        <f>COUNTIFS(Réflecto!B:B,"BYON",Réflecto!R:R,"Validé")</f>
        <v>0</v>
      </c>
      <c r="E24" s="65">
        <f>COUNTIFS(Réflecto!B:B,"FUZION",Réflecto!R:R,"Validé")</f>
        <v>0</v>
      </c>
      <c r="F24" s="65">
        <f>COUNTIFS(Réflecto!B:B,"HERRAS",Réflecto!R:R,"Validé")</f>
        <v>0</v>
      </c>
      <c r="G24" s="65">
        <f>COUNTIFS(Réflecto!B:B,"POLYKABEL",Réflecto!R:R,"Validé")</f>
        <v>0</v>
      </c>
      <c r="H24" s="65">
        <f>COUNTIFS(Réflecto!B:B,"SOGETREL",Réflecto!R:R,"Validé")</f>
        <v>0</v>
      </c>
      <c r="I24" s="65">
        <f>COUNTIFS(Réflecto!B:B,"SMT",Réflecto!R:R,"Validé")</f>
        <v>0</v>
      </c>
      <c r="J24" s="66">
        <f>SUM(Tableau5[[#This Row],[ASPEN]:[SMT]])</f>
        <v>0</v>
      </c>
      <c r="K24" s="58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</row>
    <row r="25" spans="2:34" x14ac:dyDescent="0.3">
      <c r="B25" s="80" t="s">
        <v>384</v>
      </c>
      <c r="C25" s="81">
        <f>COUNTIFS(Réflecto!B:B,"ASPEN",Réflecto!N:N,"En cours")</f>
        <v>9</v>
      </c>
      <c r="D25" s="81">
        <f>COUNTIFS(Réflecto!B:B,"BYON",Réflecto!N:N,"En cours")</f>
        <v>12</v>
      </c>
      <c r="E25" s="81">
        <f>COUNTIFS(Réflecto!B:B,"FUZION",Réflecto!N:N,"En cours")</f>
        <v>0</v>
      </c>
      <c r="F25" s="81">
        <f>COUNTIFS(Réflecto!B:B,"HERRAS",Réflecto!N:N,"En cours")</f>
        <v>25</v>
      </c>
      <c r="G25" s="81">
        <f>COUNTIFS(Réflecto!B:B,"POLYKABEL",Réflecto!N:N,"En cours")</f>
        <v>61</v>
      </c>
      <c r="H25" s="81">
        <f>COUNTIFS(Réflecto!B:B,"SOGETREL",Réflecto!N:N,"En cours")</f>
        <v>15</v>
      </c>
      <c r="I25" s="81">
        <f>COUNTIFS(Réflecto!B:B,"SMT",Réflecto!N:N,"En cours")</f>
        <v>22</v>
      </c>
      <c r="J25" s="82">
        <f>SUM(Tableau5[[#This Row],[ASPEN]:[SMT]])</f>
        <v>144</v>
      </c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</row>
    <row r="26" spans="2:34" x14ac:dyDescent="0.3">
      <c r="B26" s="80" t="s">
        <v>385</v>
      </c>
      <c r="C26" s="81">
        <f>COUNTIFS(Réflecto!R:R,"En reprise",Réflecto!B:B,"ASPEN")</f>
        <v>19</v>
      </c>
      <c r="D26" s="81">
        <f>COUNTIFS(Réflecto!S:S,"En reprise",Réflecto!C:C,"BYON")</f>
        <v>0</v>
      </c>
      <c r="E26" s="81">
        <f>COUNTIFS(Réflecto!T:T,"En reprise",Réflecto!D:D,"FUZION")</f>
        <v>0</v>
      </c>
      <c r="F26" s="81">
        <f>COUNTIFS(Réflecto!R:R,"En reprise",Réflecto!B:B,"HERRAS")</f>
        <v>25</v>
      </c>
      <c r="G26" s="81">
        <f>COUNTIFS(Réflecto!V:V,"En reprise",Réflecto!F:F,"POLYKABEL")</f>
        <v>0</v>
      </c>
      <c r="H26" s="81">
        <f>COUNTIFS(Réflecto!W:W,"En reprise",Réflecto!G:G,"SOGETREL")</f>
        <v>0</v>
      </c>
      <c r="I26" s="81">
        <f>COUNTIFS(Réflecto!X:X,"En reprise",Réflecto!H:H,"SMT")</f>
        <v>0</v>
      </c>
      <c r="J26" s="82">
        <f>SUM(Tableau5[[#This Row],[ASPEN]:[SMT]])</f>
        <v>44</v>
      </c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</row>
    <row r="27" spans="2:34" x14ac:dyDescent="0.3">
      <c r="B27" s="58"/>
      <c r="C27" s="58"/>
      <c r="D27" s="58"/>
      <c r="E27" s="58"/>
      <c r="F27" s="58"/>
      <c r="G27" s="58"/>
      <c r="H27" s="58"/>
      <c r="I27" s="58"/>
      <c r="J27" s="58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</row>
    <row r="28" spans="2:34" x14ac:dyDescent="0.3">
      <c r="B28" s="58"/>
      <c r="C28" s="58"/>
      <c r="D28" s="58"/>
      <c r="E28" s="58"/>
      <c r="F28" s="58"/>
      <c r="G28" s="58"/>
      <c r="H28" s="58"/>
      <c r="I28" s="58"/>
      <c r="J28" s="58"/>
    </row>
  </sheetData>
  <mergeCells count="3">
    <mergeCell ref="B7:C8"/>
    <mergeCell ref="B19:J20"/>
    <mergeCell ref="B3: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EnvoiMail">
                <anchor moveWithCells="1" sizeWithCells="1">
                  <from>
                    <xdr:col>11</xdr:col>
                    <xdr:colOff>579120</xdr:colOff>
                    <xdr:row>0</xdr:row>
                    <xdr:rowOff>312420</xdr:rowOff>
                  </from>
                  <to>
                    <xdr:col>12</xdr:col>
                    <xdr:colOff>1264920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C7E6B052A11F42B0586189B722A843" ma:contentTypeVersion="15" ma:contentTypeDescription="Crée un document." ma:contentTypeScope="" ma:versionID="c453143b3b25da64a17e3dc52f269fde">
  <xsd:schema xmlns:xsd="http://www.w3.org/2001/XMLSchema" xmlns:xs="http://www.w3.org/2001/XMLSchema" xmlns:p="http://schemas.microsoft.com/office/2006/metadata/properties" xmlns:ns2="a4caa3e5-fe27-4515-b092-3bab405c00e4" xmlns:ns3="5ff211e5-e1c2-43ea-b131-a121b07f5f3b" targetNamespace="http://schemas.microsoft.com/office/2006/metadata/properties" ma:root="true" ma:fieldsID="b23033b24acb2def5946e8e3c11ea70f" ns2:_="" ns3:_="">
    <xsd:import namespace="a4caa3e5-fe27-4515-b092-3bab405c00e4"/>
    <xsd:import namespace="5ff211e5-e1c2-43ea-b131-a121b07f5f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photo" minOccurs="0"/>
                <xsd:element ref="ns2:Pointdecontrole" minOccurs="0"/>
                <xsd:element ref="ns2:NRO" minOccurs="0"/>
                <xsd:element ref="ns2:Objet" minOccurs="0"/>
                <xsd:element ref="ns2:ID0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caa3e5-fe27-4515-b092-3bab405c00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photo" ma:index="18" nillable="true" ma:displayName="photo" ma:format="Thumbnail" ma:internalName="photo">
      <xsd:simpleType>
        <xsd:restriction base="dms:Unknown"/>
      </xsd:simpleType>
    </xsd:element>
    <xsd:element name="Pointdecontrole" ma:index="19" nillable="true" ma:displayName="Point de controle" ma:format="Dropdown" ma:internalName="Pointdecontrole">
      <xsd:simpleType>
        <xsd:restriction base="dms:Text">
          <xsd:maxLength value="255"/>
        </xsd:restriction>
      </xsd:simpleType>
    </xsd:element>
    <xsd:element name="NRO" ma:index="20" nillable="true" ma:displayName="NRO" ma:format="Dropdown" ma:internalName="NRO">
      <xsd:simpleType>
        <xsd:restriction base="dms:Text">
          <xsd:maxLength value="255"/>
        </xsd:restriction>
      </xsd:simpleType>
    </xsd:element>
    <xsd:element name="Objet" ma:index="21" nillable="true" ma:displayName="Objet" ma:format="Dropdown" ma:internalName="Objet">
      <xsd:simpleType>
        <xsd:restriction base="dms:Text">
          <xsd:maxLength value="255"/>
        </xsd:restriction>
      </xsd:simpleType>
    </xsd:element>
    <xsd:element name="ID0" ma:index="22" nillable="true" ma:displayName="ID" ma:format="Dropdown" ma:internalName="ID0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f211e5-e1c2-43ea-b131-a121b07f5f3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D0 xmlns="a4caa3e5-fe27-4515-b092-3bab405c00e4" xsi:nil="true"/>
    <photo xmlns="a4caa3e5-fe27-4515-b092-3bab405c00e4" xsi:nil="true"/>
    <NRO xmlns="a4caa3e5-fe27-4515-b092-3bab405c00e4" xsi:nil="true"/>
    <Pointdecontrole xmlns="a4caa3e5-fe27-4515-b092-3bab405c00e4" xsi:nil="true"/>
    <Objet xmlns="a4caa3e5-fe27-4515-b092-3bab405c00e4" xsi:nil="true"/>
  </documentManagement>
</p:properties>
</file>

<file path=customXml/itemProps1.xml><?xml version="1.0" encoding="utf-8"?>
<ds:datastoreItem xmlns:ds="http://schemas.openxmlformats.org/officeDocument/2006/customXml" ds:itemID="{B6ED6BD0-CD40-4417-BEAC-94F4277246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EB25B0-D1AD-4B4A-81D7-41813DED3B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caa3e5-fe27-4515-b092-3bab405c00e4"/>
    <ds:schemaRef ds:uri="5ff211e5-e1c2-43ea-b131-a121b07f5f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9B29A1-2623-4B75-8AE2-4CF47827A397}">
  <ds:schemaRefs>
    <ds:schemaRef ds:uri="5ff211e5-e1c2-43ea-b131-a121b07f5f3b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a4caa3e5-fe27-4515-b092-3bab405c00e4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Réflecto</vt:lpstr>
      <vt:lpstr>Méca</vt:lpstr>
      <vt:lpstr>Panier</vt:lpstr>
      <vt:lpstr>Graphique</vt:lpstr>
      <vt:lpstr>Feuil4</vt:lpstr>
      <vt:lpstr>REPORTING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TDF</dc:creator>
  <cp:keywords/>
  <dc:description/>
  <cp:lastModifiedBy>TDF</cp:lastModifiedBy>
  <cp:revision/>
  <cp:lastPrinted>2020-02-12T10:51:27Z</cp:lastPrinted>
  <dcterms:created xsi:type="dcterms:W3CDTF">2019-05-17T13:20:37Z</dcterms:created>
  <dcterms:modified xsi:type="dcterms:W3CDTF">2021-03-17T15:51:35Z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0x01010086C7E6B052A11F42B0586189B722A843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TemplateUrl">
    <vt:lpwstr/>
  </property>
  <property fmtid="{D5CDD505-2E9C-101B-9397-08002B2CF9AE}" pid="6" name="ComplianceAssetId">
    <vt:lpwstr/>
  </property>
</Properties>
</file>