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14" codeName="{99F03F65-6EE5-B2FF-AC1D-F4DDD12603F5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aloute\Desktop\"/>
    </mc:Choice>
  </mc:AlternateContent>
  <xr:revisionPtr revIDLastSave="0" documentId="13_ncr:1_{DCB12796-922D-490F-8894-D4D87EEAD923}" xr6:coauthVersionLast="43" xr6:coauthVersionMax="43" xr10:uidLastSave="{00000000-0000-0000-0000-000000000000}"/>
  <bookViews>
    <workbookView xWindow="28680" yWindow="-120" windowWidth="29040" windowHeight="15840" activeTab="2" xr2:uid="{00000000-000D-0000-FFFF-FFFF00000000}"/>
  </bookViews>
  <sheets>
    <sheet name="Données" sheetId="2" r:id="rId1"/>
    <sheet name="Comparaison" sheetId="1" r:id="rId2"/>
    <sheet name="Feuil1" sheetId="4" r:id="rId3"/>
    <sheet name="Graphique" sheetId="3" r:id="rId4"/>
  </sheets>
  <definedNames>
    <definedName name="_xlcn.WorksheetConnection_NA01.xlsxTableau20191" hidden="1">Tableau2019</definedName>
    <definedName name="DonnéesExternes_1" localSheetId="0" hidden="1">Données!$H$2:$O$54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019_4d1788fd-8baa-4c04-a78f-1f965911110a" name="Tableau2019" connection="Requête - Tableau2019"/>
          <x15:modelTable id="tableau2018_e4a4f03b-58a2-4727-9b73-9fe7f69f70b6" name="tableau2018" connection="Requête - tableau2018"/>
          <x15:modelTable id="Tableau2019 1" name="Tableau2019 1" connection="WorksheetConnection_NA01.xlsx!Tableau2019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" i="4" l="1"/>
  <c r="J14" i="4"/>
  <c r="J8" i="4"/>
  <c r="J9" i="4"/>
  <c r="J10" i="4"/>
  <c r="J11" i="4"/>
  <c r="J12" i="4"/>
  <c r="J7" i="4"/>
  <c r="M11" i="4"/>
  <c r="M12" i="4"/>
  <c r="N13" i="1"/>
  <c r="E14" i="4"/>
  <c r="E8" i="4"/>
  <c r="E9" i="4"/>
  <c r="E10" i="4"/>
  <c r="E11" i="4"/>
  <c r="E12" i="4"/>
  <c r="E7" i="4"/>
  <c r="E6" i="1"/>
  <c r="D14" i="4"/>
  <c r="D8" i="4"/>
  <c r="D9" i="4"/>
  <c r="D10" i="4"/>
  <c r="D11" i="4"/>
  <c r="D12" i="4"/>
  <c r="D7" i="4"/>
  <c r="D6" i="1"/>
  <c r="G6" i="4"/>
  <c r="H6" i="4" s="1"/>
  <c r="J6" i="4" s="1"/>
  <c r="E6" i="4"/>
  <c r="D6" i="4"/>
  <c r="M14" i="4" l="1"/>
  <c r="I8" i="1"/>
  <c r="I9" i="1"/>
  <c r="I10" i="1"/>
  <c r="I11" i="1"/>
  <c r="I13" i="1"/>
  <c r="I7" i="1"/>
  <c r="G7" i="1"/>
  <c r="G8" i="1" l="1"/>
  <c r="E7" i="1"/>
  <c r="H7" i="1" s="1"/>
  <c r="E8" i="1"/>
  <c r="E9" i="1"/>
  <c r="N11" i="1" s="1"/>
  <c r="E10" i="1"/>
  <c r="E11" i="1"/>
  <c r="E12" i="1"/>
  <c r="E13" i="1"/>
  <c r="D12" i="1"/>
  <c r="D13" i="1"/>
  <c r="J13" i="1" s="1"/>
  <c r="D7" i="1"/>
  <c r="J7" i="1" s="1"/>
  <c r="D8" i="1"/>
  <c r="J8" i="1" s="1"/>
  <c r="D9" i="1"/>
  <c r="J9" i="1" s="1"/>
  <c r="D10" i="1"/>
  <c r="J10" i="1" s="1"/>
  <c r="D11" i="1"/>
  <c r="J11" i="1" s="1"/>
  <c r="H8" i="1" l="1"/>
  <c r="N12" i="1"/>
  <c r="K11" i="1"/>
  <c r="K7" i="1"/>
  <c r="K13" i="1"/>
  <c r="K9" i="1"/>
  <c r="K8" i="1"/>
  <c r="K10" i="1"/>
  <c r="G13" i="1"/>
  <c r="G9" i="1"/>
  <c r="G10" i="1"/>
  <c r="G11" i="1"/>
  <c r="H9" i="1" l="1"/>
  <c r="D5" i="1"/>
  <c r="E5" i="1" s="1"/>
  <c r="H13" i="1"/>
  <c r="M8" i="1" l="1"/>
  <c r="H10" i="1"/>
  <c r="H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Campanile Nîmes-Centre Mas-Carbonnel</author>
  </authors>
  <commentList>
    <comment ref="C2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>ENTRER L'ANNEE N-1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Campanile Nîmes-Centre Mas-Carbonnel</author>
  </authors>
  <commentList>
    <comment ref="B3" authorId="0" shapeId="0" xr:uid="{0503BBE4-F378-4E91-9FF8-3B3D3F510BCF}">
      <text>
        <r>
          <rPr>
            <b/>
            <sz val="9"/>
            <color indexed="81"/>
            <rFont val="Tahoma"/>
            <charset val="1"/>
          </rPr>
          <t>Entrer l'année N-1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ModelConnection_DonnéesExternes_1" description="Modèle de données" type="5" refreshedVersion="6" minRefreshableVersion="5" saveData="1">
    <dbPr connection="Data Model Connection" command="Tableau2019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Requête - tableau2018" description="Connexion à la requête « tableau2018 » dans le classeur." type="100" refreshedVersion="6" minRefreshableVersion="5">
    <extLst>
      <ext xmlns:x15="http://schemas.microsoft.com/office/spreadsheetml/2010/11/main" uri="{DE250136-89BD-433C-8126-D09CA5730AF9}">
        <x15:connection id="d9bf0d76-70c2-465d-b752-99bc2b72916e">
          <x15:oledbPr connection="provider=Microsoft.Mashup.OleDb.1;data source=$Workbook$;location=tableau2018;extended properties=">
            <x15:dbTables>
              <x15:dbTable name="tableau2018"/>
            </x15:dbTables>
          </x15:oledbPr>
        </x15:connection>
      </ext>
    </extLst>
  </connection>
  <connection id="3" xr16:uid="{00000000-0015-0000-FFFF-FFFF02000000}" name="Requête - Tableau2019" description="Connexion à la requête « Tableau2019 » dans le classeur." type="100" refreshedVersion="6" minRefreshableVersion="5">
    <extLst>
      <ext xmlns:x15="http://schemas.microsoft.com/office/spreadsheetml/2010/11/main" uri="{DE250136-89BD-433C-8126-D09CA5730AF9}">
        <x15:connection id="9d476166-4bf0-40f8-92b1-7b488ca1330d">
          <x15:oledbPr connection="provider=Microsoft.Mashup.OleDb.1;data source=$Workbook$;location=Tableau2019;extended properties=">
            <x15:dbTables>
              <x15:dbTable name="Tableau2019"/>
            </x15:dbTables>
          </x15:oledbPr>
        </x15:connection>
      </ext>
    </extLst>
  </connection>
  <connection id="4" xr16:uid="{00000000-0015-0000-FFFF-FFFF03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5" xr16:uid="{00000000-0015-0000-FFFF-FFFF04000000}" name="WorksheetConnection_NA01.xlsx!Tableau2019" type="102" refreshedVersion="6" minRefreshableVersion="5">
    <extLst>
      <ext xmlns:x15="http://schemas.microsoft.com/office/spreadsheetml/2010/11/main" uri="{DE250136-89BD-433C-8126-D09CA5730AF9}">
        <x15:connection id="Tableau2019 1" autoDelete="1">
          <x15:rangePr sourceName="_xlcn.WorksheetConnection_NA01.xlsxTableau20191"/>
        </x15:connection>
      </ext>
    </extLst>
  </connection>
</connections>
</file>

<file path=xl/sharedStrings.xml><?xml version="1.0" encoding="utf-8"?>
<sst xmlns="http://schemas.openxmlformats.org/spreadsheetml/2006/main" count="65" uniqueCount="41">
  <si>
    <t>DATE</t>
  </si>
  <si>
    <t>CH POTENTIELLES</t>
  </si>
  <si>
    <t>TOTAL CH INCL. DAYUSE</t>
  </si>
  <si>
    <t>T.O INCL. DAYUSE</t>
  </si>
  <si>
    <t>CA CHAMBRE</t>
  </si>
  <si>
    <t>NB COUVERTS JOUR</t>
  </si>
  <si>
    <t>CA COUVERT</t>
  </si>
  <si>
    <t>CA TOTAL</t>
  </si>
  <si>
    <t>N-1</t>
  </si>
  <si>
    <t>REVPAR</t>
  </si>
  <si>
    <t>TAUX DE REMPLISSAGE JOUR</t>
  </si>
  <si>
    <t>81</t>
  </si>
  <si>
    <t>31</t>
  </si>
  <si>
    <t>27</t>
  </si>
  <si>
    <t>64</t>
  </si>
  <si>
    <t>71</t>
  </si>
  <si>
    <t>162</t>
  </si>
  <si>
    <t>72</t>
  </si>
  <si>
    <t>50</t>
  </si>
  <si>
    <t>98</t>
  </si>
  <si>
    <t>133</t>
  </si>
  <si>
    <t>243</t>
  </si>
  <si>
    <t>88</t>
  </si>
  <si>
    <t>78</t>
  </si>
  <si>
    <t>156</t>
  </si>
  <si>
    <t>241</t>
  </si>
  <si>
    <t>1944</t>
  </si>
  <si>
    <t>1066</t>
  </si>
  <si>
    <t>1130</t>
  </si>
  <si>
    <t>1213</t>
  </si>
  <si>
    <t>1360</t>
  </si>
  <si>
    <t>DIFF ANNEE</t>
  </si>
  <si>
    <t>2106</t>
  </si>
  <si>
    <t>1157</t>
  </si>
  <si>
    <t>1230</t>
  </si>
  <si>
    <t>1330</t>
  </si>
  <si>
    <t>1457</t>
  </si>
  <si>
    <t>JOUR N</t>
  </si>
  <si>
    <t>JOUR N-1</t>
  </si>
  <si>
    <t xml:space="preserve"> </t>
  </si>
  <si>
    <t>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</si>
</sst>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/>
    </xf>
    <xf numFmtId="2" fontId="0" fillId="2" borderId="3" xfId="0" applyNumberFormat="1" applyFill="1" applyBorder="1" applyAlignment="1">
      <alignment horizontal="center"/>
    </xf>
    <xf numFmtId="2" fontId="0" fillId="2" borderId="2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right"/>
    </xf>
    <xf numFmtId="0" fontId="0" fillId="4" borderId="5" xfId="0" applyFill="1" applyBorder="1" applyAlignment="1">
      <alignment horizontal="right"/>
    </xf>
    <xf numFmtId="164" fontId="0" fillId="2" borderId="1" xfId="0" applyNumberFormat="1" applyFill="1" applyBorder="1" applyAlignment="1">
      <alignment horizontal="right"/>
    </xf>
    <xf numFmtId="164" fontId="0" fillId="2" borderId="4" xfId="0" applyNumberFormat="1" applyFill="1" applyBorder="1" applyAlignment="1">
      <alignment horizontal="right"/>
    </xf>
    <xf numFmtId="164" fontId="0" fillId="2" borderId="3" xfId="0" applyNumberFormat="1" applyFill="1" applyBorder="1" applyAlignment="1">
      <alignment horizontal="right"/>
    </xf>
    <xf numFmtId="164" fontId="0" fillId="0" borderId="0" xfId="0" applyNumberFormat="1" applyAlignment="1">
      <alignment horizontal="center" vertical="center"/>
    </xf>
    <xf numFmtId="3" fontId="0" fillId="4" borderId="5" xfId="0" applyNumberFormat="1" applyFill="1" applyBorder="1" applyAlignment="1">
      <alignment horizontal="right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0" fontId="0" fillId="0" borderId="5" xfId="0" applyBorder="1"/>
    <xf numFmtId="0" fontId="0" fillId="2" borderId="1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4" fontId="0" fillId="4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7" xfId="0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24"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Comparaison!$D$5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(Comparaison!$B$9,Comparaison!$B$11,Comparaison!$B$13)</c:f>
              <c:strCache>
                <c:ptCount val="3"/>
                <c:pt idx="0">
                  <c:v>CA CHAMBRE</c:v>
                </c:pt>
                <c:pt idx="1">
                  <c:v>CA COUVERT</c:v>
                </c:pt>
                <c:pt idx="2">
                  <c:v>CA TOTAL</c:v>
                </c:pt>
              </c:strCache>
              <c:extLst/>
            </c:strRef>
          </c:cat>
          <c:val>
            <c:numRef>
              <c:f>(Comparaison!$D$9,Comparaison!$D$11,Comparaison!$D$13)</c:f>
              <c:numCache>
                <c:formatCode>#\ ##0.00\ "€"</c:formatCode>
                <c:ptCount val="3"/>
                <c:pt idx="0">
                  <c:v>10338.59</c:v>
                </c:pt>
                <c:pt idx="1">
                  <c:v>4519.51</c:v>
                </c:pt>
                <c:pt idx="2">
                  <c:v>17161.72</c:v>
                </c:pt>
              </c:numCache>
              <c:extLst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A5D5-4B2E-9D45-F8C5C2F56BA9}"/>
            </c:ext>
          </c:extLst>
        </c:ser>
        <c:ser>
          <c:idx val="1"/>
          <c:order val="1"/>
          <c:tx>
            <c:strRef>
              <c:f>Comparaison!$E$5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(Comparaison!$B$9,Comparaison!$B$11,Comparaison!$B$13)</c:f>
              <c:strCache>
                <c:ptCount val="3"/>
                <c:pt idx="0">
                  <c:v>CA CHAMBRE</c:v>
                </c:pt>
                <c:pt idx="1">
                  <c:v>CA COUVERT</c:v>
                </c:pt>
                <c:pt idx="2">
                  <c:v>CA TOTAL</c:v>
                </c:pt>
              </c:strCache>
              <c:extLst/>
            </c:strRef>
          </c:cat>
          <c:val>
            <c:numRef>
              <c:f>(Comparaison!$E$9,Comparaison!$E$11,Comparaison!$E$13)</c:f>
              <c:numCache>
                <c:formatCode>#\ ##0.00\ "€"</c:formatCode>
                <c:ptCount val="3"/>
                <c:pt idx="0">
                  <c:v>6719.56</c:v>
                </c:pt>
                <c:pt idx="1">
                  <c:v>2163.1799999999998</c:v>
                </c:pt>
                <c:pt idx="2">
                  <c:v>10867.95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01-A5D5-4B2E-9D45-F8C5C2F56BA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83891064"/>
        <c:axId val="183890672"/>
      </c:barChart>
      <c:catAx>
        <c:axId val="183891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890672"/>
        <c:crosses val="autoZero"/>
        <c:auto val="1"/>
        <c:lblAlgn val="ctr"/>
        <c:lblOffset val="100"/>
        <c:noMultiLvlLbl val="0"/>
      </c:catAx>
      <c:valAx>
        <c:axId val="183890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891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0</xdr:row>
      <xdr:rowOff>161925</xdr:rowOff>
    </xdr:from>
    <xdr:ext cx="1028700" cy="292704"/>
    <xdr:sp macro="[0]!BtnAjoutDonnees" textlink="">
      <xdr:nvSpPr>
        <xdr:cNvPr id="4" name="Rectangle : coins arrondis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381125" y="161925"/>
          <a:ext cx="1028700" cy="29270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fr-FR" sz="1100"/>
            <a:t>Ajouter</a:t>
          </a:r>
        </a:p>
      </xdr:txBody>
    </xdr:sp>
    <xdr:clientData/>
  </xdr:oneCellAnchor>
  <xdr:oneCellAnchor>
    <xdr:from>
      <xdr:col>8</xdr:col>
      <xdr:colOff>409575</xdr:colOff>
      <xdr:row>0</xdr:row>
      <xdr:rowOff>171450</xdr:rowOff>
    </xdr:from>
    <xdr:ext cx="1028700" cy="292704"/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495550" y="171450"/>
          <a:ext cx="1028700" cy="29270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fr-FR" sz="1100"/>
            <a:t>Recherche</a:t>
          </a:r>
        </a:p>
      </xdr:txBody>
    </xdr:sp>
    <xdr:clientData/>
  </xdr:oneCellAnchor>
  <xdr:oneCellAnchor>
    <xdr:from>
      <xdr:col>13</xdr:col>
      <xdr:colOff>1019175</xdr:colOff>
      <xdr:row>0</xdr:row>
      <xdr:rowOff>161925</xdr:rowOff>
    </xdr:from>
    <xdr:ext cx="1028700" cy="292704"/>
    <xdr:sp macro="[0]!raz_tableau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1133628-33D7-40DB-A30C-6748C494BB63}"/>
            </a:ext>
          </a:extLst>
        </xdr:cNvPr>
        <xdr:cNvSpPr/>
      </xdr:nvSpPr>
      <xdr:spPr>
        <a:xfrm>
          <a:off x="10410825" y="161925"/>
          <a:ext cx="1028700" cy="29270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fr-FR" sz="1100"/>
            <a:t>RAZ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104774</xdr:colOff>
      <xdr:row>0</xdr:row>
      <xdr:rowOff>66676</xdr:rowOff>
    </xdr:from>
    <xdr:to>
      <xdr:col>23</xdr:col>
      <xdr:colOff>742950</xdr:colOff>
      <xdr:row>27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219075</xdr:colOff>
      <xdr:row>0</xdr:row>
      <xdr:rowOff>85724</xdr:rowOff>
    </xdr:from>
    <xdr:to>
      <xdr:col>4</xdr:col>
      <xdr:colOff>438150</xdr:colOff>
      <xdr:row>3</xdr:row>
      <xdr:rowOff>123824</xdr:rowOff>
    </xdr:to>
    <xdr:sp macro="[0]!BtnPrecedent" textlink="">
      <xdr:nvSpPr>
        <xdr:cNvPr id="3" name="Flèche : gau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990725" y="85724"/>
          <a:ext cx="981075" cy="638175"/>
        </a:xfrm>
        <a:prstGeom prst="leftArrow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647699</xdr:colOff>
      <xdr:row>0</xdr:row>
      <xdr:rowOff>85724</xdr:rowOff>
    </xdr:from>
    <xdr:to>
      <xdr:col>7</xdr:col>
      <xdr:colOff>752474</xdr:colOff>
      <xdr:row>3</xdr:row>
      <xdr:rowOff>123824</xdr:rowOff>
    </xdr:to>
    <xdr:sp macro="[0]!BtnSuivant" textlink="">
      <xdr:nvSpPr>
        <xdr:cNvPr id="6" name="Flèche : gauch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rot="10800000">
          <a:off x="3047999" y="85724"/>
          <a:ext cx="981075" cy="638175"/>
        </a:xfrm>
        <a:prstGeom prst="leftArrow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114303</xdr:colOff>
      <xdr:row>0</xdr:row>
      <xdr:rowOff>76201</xdr:rowOff>
    </xdr:from>
    <xdr:to>
      <xdr:col>3</xdr:col>
      <xdr:colOff>685800</xdr:colOff>
      <xdr:row>1</xdr:row>
      <xdr:rowOff>133351</xdr:rowOff>
    </xdr:to>
    <xdr:sp macro="[0]!BtnPrecedent" textlink="">
      <xdr:nvSpPr>
        <xdr:cNvPr id="2" name="Flèche : gauche 1">
          <a:extLst>
            <a:ext uri="{FF2B5EF4-FFF2-40B4-BE49-F238E27FC236}">
              <a16:creationId xmlns:a16="http://schemas.microsoft.com/office/drawing/2014/main" id="{7CB0D3E5-A685-4759-98CF-2E9026723D40}"/>
            </a:ext>
          </a:extLst>
        </xdr:cNvPr>
        <xdr:cNvSpPr/>
      </xdr:nvSpPr>
      <xdr:spPr>
        <a:xfrm>
          <a:off x="1752603" y="76201"/>
          <a:ext cx="571497" cy="247650"/>
        </a:xfrm>
        <a:prstGeom prst="leftArrow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104773</xdr:colOff>
      <xdr:row>0</xdr:row>
      <xdr:rowOff>76197</xdr:rowOff>
    </xdr:from>
    <xdr:to>
      <xdr:col>4</xdr:col>
      <xdr:colOff>676270</xdr:colOff>
      <xdr:row>1</xdr:row>
      <xdr:rowOff>133347</xdr:rowOff>
    </xdr:to>
    <xdr:sp macro="[0]!BtnSuivant" textlink="">
      <xdr:nvSpPr>
        <xdr:cNvPr id="3" name="Flèche : gauche 2">
          <a:extLst>
            <a:ext uri="{FF2B5EF4-FFF2-40B4-BE49-F238E27FC236}">
              <a16:creationId xmlns:a16="http://schemas.microsoft.com/office/drawing/2014/main" id="{9E6EE4B6-9648-46D2-AD15-F27374A748D1}"/>
            </a:ext>
          </a:extLst>
        </xdr:cNvPr>
        <xdr:cNvSpPr/>
      </xdr:nvSpPr>
      <xdr:spPr>
        <a:xfrm rot="10800000">
          <a:off x="2505073" y="76197"/>
          <a:ext cx="571497" cy="247650"/>
        </a:xfrm>
        <a:prstGeom prst="leftArrow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00000000-0016-0000-0000-000000000000}" autoFormatId="16" applyNumberFormats="0" applyBorderFormats="0" applyFontFormats="0" applyPatternFormats="0" applyAlignmentFormats="0" applyWidthHeightFormats="0">
  <queryTableRefresh nextId="10">
    <queryTableFields count="8">
      <queryTableField id="1" name="DATE" tableColumnId="1"/>
      <queryTableField id="2" name="CH POTENTIELLES" tableColumnId="2"/>
      <queryTableField id="3" name="TOTAL CH INCL. DAYUSE" tableColumnId="3"/>
      <queryTableField id="4" name="T.O INCL. DAYUSE" tableColumnId="4"/>
      <queryTableField id="5" name="CA CHAMBRE" tableColumnId="5"/>
      <queryTableField id="6" name="NB COUVERTS JOUR" tableColumnId="6"/>
      <queryTableField id="7" name="CA COUVERT" tableColumnId="7"/>
      <queryTableField id="8" name="CA TOTAL" tableColumnId="8"/>
    </queryTableFields>
  </queryTableRefresh>
  <extLst>
    <ext xmlns:x15="http://schemas.microsoft.com/office/spreadsheetml/2010/11/main" uri="{883FBD77-0823-4a55-B5E3-86C4891E6966}">
      <x15:queryTable sourceDataName="Requête - Tableau2019"/>
    </ext>
  </extLst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Data" displayName="Data" ref="H2:O54" tableType="queryTable" totalsRowShown="0" headerRowDxfId="23" dataDxfId="22">
  <autoFilter ref="H2:O54" xr:uid="{00000000-0009-0000-0100-000003000000}"/>
  <sortState ref="H3:O52">
    <sortCondition ref="H2:H52"/>
  </sortState>
  <tableColumns count="8">
    <tableColumn id="1" xr3:uid="{00000000-0010-0000-0000-000001000000}" uniqueName="1" name="DATE" queryTableFieldId="1" dataDxfId="21" totalsRowDxfId="20"/>
    <tableColumn id="2" xr3:uid="{00000000-0010-0000-0000-000002000000}" uniqueName="2" name="CH POTENTIELLES" queryTableFieldId="2" dataDxfId="19" totalsRowDxfId="18"/>
    <tableColumn id="3" xr3:uid="{00000000-0010-0000-0000-000003000000}" uniqueName="3" name="TOTAL CH INCL. DAYUSE" queryTableFieldId="3" dataDxfId="17" totalsRowDxfId="16"/>
    <tableColumn id="4" xr3:uid="{00000000-0010-0000-0000-000004000000}" uniqueName="4" name="T.O INCL. DAYUSE" queryTableFieldId="4" dataDxfId="15" totalsRowDxfId="14"/>
    <tableColumn id="5" xr3:uid="{00000000-0010-0000-0000-000005000000}" uniqueName="5" name="CA CHAMBRE" queryTableFieldId="5" dataDxfId="13" totalsRowDxfId="12"/>
    <tableColumn id="6" xr3:uid="{00000000-0010-0000-0000-000006000000}" uniqueName="6" name="NB COUVERTS JOUR" queryTableFieldId="6" dataDxfId="11" totalsRowDxfId="10"/>
    <tableColumn id="7" xr3:uid="{00000000-0010-0000-0000-000007000000}" uniqueName="7" name="CA COUVERT" queryTableFieldId="7" dataDxfId="9" totalsRowDxfId="8"/>
    <tableColumn id="8" xr3:uid="{00000000-0010-0000-0000-000008000000}" uniqueName="8" name="CA TOTAL" queryTableFieldId="8" dataDxfId="7" totalsRowDxf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Q54"/>
  <sheetViews>
    <sheetView showGridLines="0" topLeftCell="F1" workbookViewId="0">
      <pane ySplit="2" topLeftCell="A3" activePane="bottomLeft" state="frozen"/>
      <selection activeCell="F1" sqref="F1"/>
      <selection pane="bottomLeft" activeCell="S17" sqref="S17"/>
    </sheetView>
  </sheetViews>
  <sheetFormatPr baseColWidth="10" defaultRowHeight="15" x14ac:dyDescent="0.25"/>
  <cols>
    <col min="1" max="1" width="12.5703125" style="2" hidden="1" customWidth="1"/>
    <col min="2" max="3" width="10.7109375" style="2" hidden="1" customWidth="1"/>
    <col min="4" max="4" width="12.5703125" style="2" hidden="1" customWidth="1"/>
    <col min="5" max="5" width="14.85546875" style="2" hidden="1" customWidth="1"/>
    <col min="6" max="6" width="6.140625" style="2" customWidth="1"/>
    <col min="7" max="7" width="14.42578125" style="2" customWidth="1"/>
    <col min="8" max="8" width="10.7109375" style="3" bestFit="1" customWidth="1"/>
    <col min="9" max="9" width="20.85546875" style="9" bestFit="1" customWidth="1"/>
    <col min="10" max="10" width="26.85546875" style="9" bestFit="1" customWidth="1"/>
    <col min="11" max="11" width="21.28515625" style="17" bestFit="1" customWidth="1"/>
    <col min="12" max="12" width="17.28515625" style="17" bestFit="1" customWidth="1"/>
    <col min="13" max="13" width="23.28515625" style="9" bestFit="1" customWidth="1"/>
    <col min="14" max="14" width="16.85546875" style="17" bestFit="1" customWidth="1"/>
    <col min="15" max="15" width="14" style="17" bestFit="1" customWidth="1"/>
    <col min="16" max="16" width="14.42578125" style="2" customWidth="1"/>
    <col min="17" max="17" width="11.5703125" style="2" customWidth="1"/>
  </cols>
  <sheetData>
    <row r="1" spans="1:15" ht="48" customHeight="1" x14ac:dyDescent="0.25"/>
    <row r="2" spans="1:15" x14ac:dyDescent="0.25">
      <c r="C2" s="3">
        <v>43162</v>
      </c>
      <c r="H2" s="3" t="s">
        <v>0</v>
      </c>
      <c r="I2" s="9" t="s">
        <v>1</v>
      </c>
      <c r="J2" s="9" t="s">
        <v>2</v>
      </c>
      <c r="K2" s="17" t="s">
        <v>3</v>
      </c>
      <c r="L2" s="17" t="s">
        <v>4</v>
      </c>
      <c r="M2" s="9" t="s">
        <v>5</v>
      </c>
      <c r="N2" s="17" t="s">
        <v>6</v>
      </c>
      <c r="O2" s="17" t="s">
        <v>7</v>
      </c>
    </row>
    <row r="3" spans="1:15" x14ac:dyDescent="0.25">
      <c r="H3" s="3">
        <v>43160</v>
      </c>
      <c r="I3" s="9" t="s">
        <v>11</v>
      </c>
      <c r="J3" s="9" t="s">
        <v>14</v>
      </c>
      <c r="K3" s="17">
        <v>79.010000000000005</v>
      </c>
      <c r="L3" s="17">
        <v>3984.05</v>
      </c>
      <c r="M3" s="9" t="s">
        <v>15</v>
      </c>
      <c r="N3" s="17">
        <v>1147.2</v>
      </c>
      <c r="O3" s="17">
        <v>6047.07</v>
      </c>
    </row>
    <row r="4" spans="1:15" x14ac:dyDescent="0.25">
      <c r="H4" s="3">
        <v>43161</v>
      </c>
      <c r="I4" s="9" t="s">
        <v>16</v>
      </c>
      <c r="J4" s="9" t="s">
        <v>19</v>
      </c>
      <c r="K4" s="17">
        <v>60.5</v>
      </c>
      <c r="L4" s="17">
        <v>5964.85</v>
      </c>
      <c r="M4" s="9" t="s">
        <v>20</v>
      </c>
      <c r="N4" s="17">
        <v>2052.73</v>
      </c>
      <c r="O4" s="17">
        <v>9349.84</v>
      </c>
    </row>
    <row r="5" spans="1:15" x14ac:dyDescent="0.25">
      <c r="H5" s="3">
        <v>43162</v>
      </c>
      <c r="I5" s="9" t="s">
        <v>21</v>
      </c>
      <c r="J5" s="9" t="s">
        <v>24</v>
      </c>
      <c r="K5" s="17">
        <v>64.2</v>
      </c>
      <c r="L5" s="17">
        <v>9020.85</v>
      </c>
      <c r="M5" s="9" t="s">
        <v>25</v>
      </c>
      <c r="N5" s="17">
        <v>3826.51</v>
      </c>
      <c r="O5" s="17">
        <v>14954.38</v>
      </c>
    </row>
    <row r="6" spans="1:15" x14ac:dyDescent="0.25">
      <c r="A6"/>
      <c r="B6"/>
      <c r="C6"/>
      <c r="D6"/>
      <c r="H6" s="3">
        <v>43163</v>
      </c>
      <c r="I6" s="9">
        <v>324</v>
      </c>
      <c r="J6" s="9">
        <v>182</v>
      </c>
      <c r="K6" s="17">
        <v>56.17</v>
      </c>
      <c r="L6" s="17">
        <v>10338.59</v>
      </c>
      <c r="M6" s="9">
        <v>266</v>
      </c>
      <c r="N6" s="17">
        <v>4519.51</v>
      </c>
      <c r="O6" s="17">
        <v>17161.72</v>
      </c>
    </row>
    <row r="7" spans="1:15" x14ac:dyDescent="0.25">
      <c r="A7"/>
      <c r="B7"/>
      <c r="C7"/>
      <c r="D7"/>
      <c r="H7" s="3">
        <v>43164</v>
      </c>
      <c r="I7" s="9">
        <v>405</v>
      </c>
      <c r="J7" s="9">
        <v>227</v>
      </c>
      <c r="K7" s="17">
        <v>56.05</v>
      </c>
      <c r="L7" s="17">
        <v>1762.97</v>
      </c>
      <c r="M7" s="9">
        <v>321</v>
      </c>
      <c r="N7" s="17">
        <v>5295.01</v>
      </c>
      <c r="O7" s="17">
        <v>21034.6</v>
      </c>
    </row>
    <row r="8" spans="1:15" x14ac:dyDescent="0.25">
      <c r="A8"/>
      <c r="B8"/>
      <c r="C8"/>
      <c r="D8"/>
      <c r="H8" s="3">
        <v>43165</v>
      </c>
      <c r="I8" s="9">
        <v>486</v>
      </c>
      <c r="J8" s="9">
        <v>275</v>
      </c>
      <c r="K8" s="17">
        <v>56.59</v>
      </c>
      <c r="L8" s="17">
        <v>15466.04</v>
      </c>
      <c r="M8" s="9">
        <v>353</v>
      </c>
      <c r="N8" s="17">
        <v>5779.31</v>
      </c>
      <c r="O8" s="17">
        <v>24644.57</v>
      </c>
    </row>
    <row r="9" spans="1:15" x14ac:dyDescent="0.25">
      <c r="A9"/>
      <c r="B9"/>
      <c r="C9"/>
      <c r="H9" s="3">
        <v>43166</v>
      </c>
      <c r="I9" s="9">
        <v>567</v>
      </c>
      <c r="J9" s="9">
        <v>336</v>
      </c>
      <c r="K9" s="17">
        <v>59.26</v>
      </c>
      <c r="L9" s="17">
        <v>18423.71</v>
      </c>
      <c r="M9" s="9">
        <v>393</v>
      </c>
      <c r="N9" s="17">
        <v>6472.5</v>
      </c>
      <c r="O9" s="17">
        <v>28931.62</v>
      </c>
    </row>
    <row r="10" spans="1:15" x14ac:dyDescent="0.25">
      <c r="A10"/>
      <c r="B10"/>
      <c r="C10"/>
      <c r="H10" s="3">
        <v>43167</v>
      </c>
      <c r="I10" s="9">
        <v>648</v>
      </c>
      <c r="J10" s="9">
        <v>399</v>
      </c>
      <c r="K10" s="17">
        <v>61.58</v>
      </c>
      <c r="L10" s="17">
        <v>21311.05</v>
      </c>
      <c r="M10" s="9">
        <v>443</v>
      </c>
      <c r="N10" s="17">
        <v>7253.86</v>
      </c>
      <c r="O10" s="17">
        <v>33306.800000000003</v>
      </c>
    </row>
    <row r="11" spans="1:15" x14ac:dyDescent="0.25">
      <c r="A11"/>
      <c r="B11"/>
      <c r="C11"/>
      <c r="H11" s="3">
        <v>43168</v>
      </c>
      <c r="I11" s="9">
        <v>729</v>
      </c>
      <c r="J11" s="9">
        <v>459</v>
      </c>
      <c r="K11" s="17">
        <v>62.96</v>
      </c>
      <c r="L11" s="17">
        <v>24178.1</v>
      </c>
      <c r="M11" s="9">
        <v>494</v>
      </c>
      <c r="N11" s="17">
        <v>8106.24</v>
      </c>
      <c r="O11" s="17">
        <v>38069.279999999999</v>
      </c>
    </row>
    <row r="12" spans="1:15" x14ac:dyDescent="0.25">
      <c r="A12"/>
      <c r="B12"/>
      <c r="C12"/>
      <c r="H12" s="3">
        <v>43169</v>
      </c>
      <c r="I12" s="9">
        <v>810</v>
      </c>
      <c r="J12" s="9">
        <v>515</v>
      </c>
      <c r="K12" s="17">
        <v>63.58</v>
      </c>
      <c r="L12" s="17">
        <v>27052.15</v>
      </c>
      <c r="M12" s="9">
        <v>548</v>
      </c>
      <c r="N12" s="17">
        <v>8985.94</v>
      </c>
      <c r="O12" s="17">
        <v>42587.23</v>
      </c>
    </row>
    <row r="13" spans="1:15" x14ac:dyDescent="0.25">
      <c r="A13"/>
      <c r="B13"/>
      <c r="C13"/>
      <c r="H13" s="3">
        <v>43170</v>
      </c>
      <c r="I13" s="9">
        <v>891</v>
      </c>
      <c r="J13" s="9">
        <v>542</v>
      </c>
      <c r="K13" s="17">
        <v>60.83</v>
      </c>
      <c r="L13" s="17">
        <v>28369.99</v>
      </c>
      <c r="M13" s="9">
        <v>564</v>
      </c>
      <c r="N13" s="17">
        <v>9233.34</v>
      </c>
      <c r="O13" s="17">
        <v>44127.57</v>
      </c>
    </row>
    <row r="14" spans="1:15" x14ac:dyDescent="0.25">
      <c r="A14"/>
      <c r="B14"/>
      <c r="C14"/>
      <c r="H14" s="3">
        <v>43171</v>
      </c>
      <c r="I14" s="9">
        <v>972</v>
      </c>
      <c r="J14" s="9">
        <v>580</v>
      </c>
      <c r="K14" s="17">
        <v>59.67</v>
      </c>
      <c r="L14" s="17">
        <v>30536.080000000002</v>
      </c>
      <c r="M14" s="9">
        <v>595</v>
      </c>
      <c r="N14" s="17">
        <v>9653.19</v>
      </c>
      <c r="O14" s="17">
        <v>46882.42</v>
      </c>
    </row>
    <row r="15" spans="1:15" x14ac:dyDescent="0.25">
      <c r="A15"/>
      <c r="B15"/>
      <c r="C15"/>
      <c r="H15" s="3">
        <v>43172</v>
      </c>
      <c r="I15" s="9">
        <v>1053</v>
      </c>
      <c r="J15" s="9">
        <v>634</v>
      </c>
      <c r="K15" s="17">
        <v>60.21</v>
      </c>
      <c r="L15" s="17">
        <v>33316.870000000003</v>
      </c>
      <c r="M15" s="9">
        <v>644</v>
      </c>
      <c r="N15" s="17">
        <v>10345.290000000001</v>
      </c>
      <c r="O15" s="17">
        <v>51109.440000000002</v>
      </c>
    </row>
    <row r="16" spans="1:15" x14ac:dyDescent="0.25">
      <c r="A16"/>
      <c r="B16"/>
      <c r="C16"/>
      <c r="H16" s="3">
        <v>43173</v>
      </c>
      <c r="I16" s="9">
        <v>1134</v>
      </c>
      <c r="J16" s="9">
        <v>680</v>
      </c>
      <c r="K16" s="17">
        <v>59.97</v>
      </c>
      <c r="L16" s="17">
        <v>35803.61</v>
      </c>
      <c r="M16" s="9">
        <v>686</v>
      </c>
      <c r="N16" s="17">
        <v>11027.4</v>
      </c>
      <c r="O16" s="17">
        <v>54600.68</v>
      </c>
    </row>
    <row r="17" spans="1:15" x14ac:dyDescent="0.25">
      <c r="A17"/>
      <c r="B17"/>
      <c r="C17"/>
      <c r="H17" s="3">
        <v>43174</v>
      </c>
      <c r="I17" s="9">
        <v>1215</v>
      </c>
      <c r="J17" s="9">
        <v>725</v>
      </c>
      <c r="K17" s="17">
        <v>59.67</v>
      </c>
      <c r="L17" s="17">
        <v>38048.97</v>
      </c>
      <c r="M17" s="9">
        <v>774</v>
      </c>
      <c r="N17" s="17">
        <v>12493.07</v>
      </c>
      <c r="O17" s="17">
        <v>58956.44</v>
      </c>
    </row>
    <row r="18" spans="1:15" x14ac:dyDescent="0.25">
      <c r="A18"/>
      <c r="B18"/>
      <c r="C18"/>
      <c r="H18" s="3">
        <v>43175</v>
      </c>
      <c r="I18" s="9">
        <v>1296</v>
      </c>
      <c r="J18" s="9">
        <v>769</v>
      </c>
      <c r="K18" s="17">
        <v>59.34</v>
      </c>
      <c r="L18" s="17">
        <v>40442.730000000003</v>
      </c>
      <c r="M18" s="9">
        <v>801</v>
      </c>
      <c r="N18" s="17">
        <v>12866.07</v>
      </c>
      <c r="O18" s="17">
        <v>62301.8</v>
      </c>
    </row>
    <row r="19" spans="1:15" x14ac:dyDescent="0.25">
      <c r="A19"/>
      <c r="B19"/>
      <c r="C19"/>
      <c r="H19" s="3">
        <v>43176</v>
      </c>
      <c r="I19" s="9">
        <v>1377</v>
      </c>
      <c r="J19" s="9">
        <v>809</v>
      </c>
      <c r="K19" s="17">
        <v>58.75</v>
      </c>
      <c r="L19" s="17">
        <v>42480.24</v>
      </c>
      <c r="M19" s="9">
        <v>827</v>
      </c>
      <c r="N19" s="17">
        <v>13227.87</v>
      </c>
      <c r="O19" s="17">
        <v>65271.57</v>
      </c>
    </row>
    <row r="20" spans="1:15" x14ac:dyDescent="0.25">
      <c r="A20"/>
      <c r="B20"/>
      <c r="C20"/>
      <c r="H20" s="3">
        <v>43177</v>
      </c>
      <c r="I20" s="9">
        <v>1458</v>
      </c>
      <c r="J20" s="9">
        <v>838</v>
      </c>
      <c r="K20" s="17">
        <v>57.48</v>
      </c>
      <c r="L20" s="17">
        <v>43688.27</v>
      </c>
      <c r="M20" s="9">
        <v>850</v>
      </c>
      <c r="N20" s="17">
        <v>13599.37</v>
      </c>
      <c r="O20" s="17">
        <v>67071.399999999994</v>
      </c>
    </row>
    <row r="21" spans="1:15" x14ac:dyDescent="0.25">
      <c r="A21"/>
      <c r="B21"/>
      <c r="C21"/>
      <c r="H21" s="3">
        <v>43178</v>
      </c>
      <c r="I21" s="9">
        <v>1539</v>
      </c>
      <c r="J21" s="9">
        <v>899</v>
      </c>
      <c r="K21" s="17">
        <v>58.41</v>
      </c>
      <c r="L21" s="17">
        <v>46863.22</v>
      </c>
      <c r="M21" s="9">
        <v>903</v>
      </c>
      <c r="N21" s="17">
        <v>14401.18</v>
      </c>
      <c r="O21" s="17">
        <v>71780.87</v>
      </c>
    </row>
    <row r="22" spans="1:15" x14ac:dyDescent="0.25">
      <c r="H22" s="3">
        <v>43179</v>
      </c>
      <c r="I22" s="9">
        <v>1620</v>
      </c>
      <c r="J22" s="9">
        <v>964</v>
      </c>
      <c r="K22" s="17">
        <v>59.51</v>
      </c>
      <c r="L22" s="17">
        <v>50163.76</v>
      </c>
      <c r="M22" s="9">
        <v>1014</v>
      </c>
      <c r="N22" s="17">
        <v>16460</v>
      </c>
      <c r="O22" s="17">
        <v>77396.11</v>
      </c>
    </row>
    <row r="23" spans="1:15" x14ac:dyDescent="0.25">
      <c r="H23" s="3">
        <v>43180</v>
      </c>
      <c r="I23" s="9">
        <v>1701</v>
      </c>
      <c r="J23" s="9">
        <v>1036</v>
      </c>
      <c r="K23" s="17">
        <v>60.91</v>
      </c>
      <c r="L23" s="17">
        <v>53910.91</v>
      </c>
      <c r="M23" s="9">
        <v>1142</v>
      </c>
      <c r="N23" s="17">
        <v>18891.8</v>
      </c>
      <c r="O23" s="17">
        <v>84251.96</v>
      </c>
    </row>
    <row r="24" spans="1:15" x14ac:dyDescent="0.25">
      <c r="H24" s="3">
        <v>43181</v>
      </c>
      <c r="I24" s="9">
        <v>1782</v>
      </c>
      <c r="J24" s="9">
        <v>1096</v>
      </c>
      <c r="K24" s="17">
        <v>61.5</v>
      </c>
      <c r="L24" s="17">
        <v>56949.52</v>
      </c>
      <c r="M24" s="9">
        <v>1244</v>
      </c>
      <c r="N24" s="17">
        <v>20943.310000000001</v>
      </c>
      <c r="O24" s="17">
        <v>90723.77</v>
      </c>
    </row>
    <row r="25" spans="1:15" x14ac:dyDescent="0.25">
      <c r="H25" s="3">
        <v>43182</v>
      </c>
      <c r="I25" s="9">
        <v>1863</v>
      </c>
      <c r="J25" s="9">
        <v>1143</v>
      </c>
      <c r="K25" s="17">
        <v>61.35</v>
      </c>
      <c r="L25" s="17">
        <v>59132.36</v>
      </c>
      <c r="M25" s="9">
        <v>1325</v>
      </c>
      <c r="N25" s="17">
        <v>22422.41</v>
      </c>
      <c r="O25" s="17">
        <v>95512.81</v>
      </c>
    </row>
    <row r="26" spans="1:15" x14ac:dyDescent="0.25">
      <c r="H26" s="3">
        <v>43183</v>
      </c>
      <c r="I26" s="9" t="s">
        <v>26</v>
      </c>
      <c r="J26" s="9" t="s">
        <v>29</v>
      </c>
      <c r="K26" s="17">
        <v>62.4</v>
      </c>
      <c r="L26" s="17">
        <v>62625.17</v>
      </c>
      <c r="M26" s="9" t="s">
        <v>30</v>
      </c>
      <c r="N26" s="17">
        <v>22544.01</v>
      </c>
      <c r="O26" s="17">
        <v>100175.52</v>
      </c>
    </row>
    <row r="27" spans="1:15" x14ac:dyDescent="0.25">
      <c r="H27" s="3">
        <v>43184</v>
      </c>
      <c r="I27" s="9">
        <v>2025</v>
      </c>
      <c r="J27" s="9">
        <v>1258</v>
      </c>
      <c r="K27" s="17">
        <v>62.12</v>
      </c>
      <c r="L27" s="17">
        <v>64777.47</v>
      </c>
      <c r="M27" s="9">
        <v>1389</v>
      </c>
      <c r="N27" s="17">
        <v>22994.1</v>
      </c>
      <c r="O27" s="17">
        <v>103371.91</v>
      </c>
    </row>
    <row r="28" spans="1:15" x14ac:dyDescent="0.25">
      <c r="H28" s="3">
        <v>43525</v>
      </c>
      <c r="I28" s="9" t="s">
        <v>11</v>
      </c>
      <c r="J28" s="9" t="s">
        <v>12</v>
      </c>
      <c r="K28" s="17">
        <v>38.270000000000003</v>
      </c>
      <c r="L28" s="17">
        <v>1510.76</v>
      </c>
      <c r="M28" s="9" t="s">
        <v>13</v>
      </c>
      <c r="N28" s="17">
        <v>432.7</v>
      </c>
      <c r="O28" s="17">
        <v>2786.36</v>
      </c>
    </row>
    <row r="29" spans="1:15" x14ac:dyDescent="0.25">
      <c r="H29" s="3">
        <v>43526</v>
      </c>
      <c r="I29" s="9" t="s">
        <v>16</v>
      </c>
      <c r="J29" s="9" t="s">
        <v>17</v>
      </c>
      <c r="K29" s="17">
        <v>44.45</v>
      </c>
      <c r="L29" s="17">
        <v>3449.11</v>
      </c>
      <c r="M29" s="9" t="s">
        <v>18</v>
      </c>
      <c r="N29" s="17">
        <v>762.6</v>
      </c>
      <c r="O29" s="17">
        <v>5606.5</v>
      </c>
    </row>
    <row r="30" spans="1:15" x14ac:dyDescent="0.25">
      <c r="H30" s="3">
        <v>43527</v>
      </c>
      <c r="I30" s="9" t="s">
        <v>21</v>
      </c>
      <c r="J30" s="9" t="s">
        <v>22</v>
      </c>
      <c r="K30" s="17">
        <v>36.21</v>
      </c>
      <c r="L30" s="17">
        <v>4277.21</v>
      </c>
      <c r="M30" s="9" t="s">
        <v>23</v>
      </c>
      <c r="N30" s="17">
        <v>1379.1</v>
      </c>
      <c r="O30" s="17">
        <v>7135.9</v>
      </c>
    </row>
    <row r="31" spans="1:15" x14ac:dyDescent="0.25">
      <c r="H31" s="3">
        <v>43528</v>
      </c>
      <c r="I31" s="9">
        <v>324</v>
      </c>
      <c r="J31" s="9">
        <v>125</v>
      </c>
      <c r="K31" s="17">
        <v>38.58</v>
      </c>
      <c r="L31" s="17">
        <v>6719.56</v>
      </c>
      <c r="M31" s="9">
        <v>124</v>
      </c>
      <c r="N31" s="17">
        <v>2163.1799999999998</v>
      </c>
      <c r="O31" s="17">
        <v>10867.95</v>
      </c>
    </row>
    <row r="32" spans="1:15" x14ac:dyDescent="0.25">
      <c r="H32" s="3">
        <v>43529</v>
      </c>
      <c r="I32" s="9">
        <v>405</v>
      </c>
      <c r="J32" s="9">
        <v>193</v>
      </c>
      <c r="K32" s="17">
        <v>47.65</v>
      </c>
      <c r="L32" s="17">
        <v>10636.45</v>
      </c>
      <c r="M32" s="9">
        <v>195</v>
      </c>
      <c r="N32" s="17">
        <v>3429.48</v>
      </c>
      <c r="O32" s="17">
        <v>16928.04</v>
      </c>
    </row>
    <row r="33" spans="8:15" x14ac:dyDescent="0.25">
      <c r="H33" s="3">
        <v>43530</v>
      </c>
      <c r="I33" s="9">
        <v>486</v>
      </c>
      <c r="J33" s="9">
        <v>251</v>
      </c>
      <c r="K33" s="17">
        <v>51.65</v>
      </c>
      <c r="L33" s="17">
        <v>13862.63</v>
      </c>
      <c r="M33" s="9">
        <v>300</v>
      </c>
      <c r="N33" s="17">
        <v>5196.18</v>
      </c>
      <c r="O33" s="17">
        <v>22717.32</v>
      </c>
    </row>
    <row r="34" spans="8:15" x14ac:dyDescent="0.25">
      <c r="H34" s="3">
        <v>43531</v>
      </c>
      <c r="I34" s="9">
        <v>567</v>
      </c>
      <c r="J34" s="9">
        <v>303</v>
      </c>
      <c r="K34" s="17">
        <v>53.44</v>
      </c>
      <c r="L34" s="17">
        <v>16743.03</v>
      </c>
      <c r="M34" s="9">
        <v>362</v>
      </c>
      <c r="N34" s="17">
        <v>6215.78</v>
      </c>
      <c r="O34" s="17">
        <v>27512.639999999999</v>
      </c>
    </row>
    <row r="35" spans="8:15" x14ac:dyDescent="0.25">
      <c r="H35" s="3">
        <v>43532</v>
      </c>
      <c r="I35" s="9">
        <v>648</v>
      </c>
      <c r="J35" s="9">
        <v>346</v>
      </c>
      <c r="K35" s="17">
        <v>53.4</v>
      </c>
      <c r="L35" s="17">
        <v>19265.669999999998</v>
      </c>
      <c r="M35" s="9">
        <v>403</v>
      </c>
      <c r="N35" s="17">
        <v>6864.08</v>
      </c>
      <c r="O35" s="17">
        <v>31467.62</v>
      </c>
    </row>
    <row r="36" spans="8:15" x14ac:dyDescent="0.25">
      <c r="H36" s="3">
        <v>43533</v>
      </c>
      <c r="I36" s="9">
        <v>729</v>
      </c>
      <c r="J36" s="9">
        <v>399</v>
      </c>
      <c r="K36" s="17">
        <v>54.73</v>
      </c>
      <c r="L36" s="17">
        <v>21807.64</v>
      </c>
      <c r="M36" s="9">
        <v>474</v>
      </c>
      <c r="N36" s="17">
        <v>7995.47</v>
      </c>
      <c r="O36" s="17">
        <v>35879.39</v>
      </c>
    </row>
    <row r="37" spans="8:15" x14ac:dyDescent="0.25">
      <c r="H37" s="3">
        <v>43534</v>
      </c>
      <c r="I37" s="9">
        <v>810</v>
      </c>
      <c r="J37" s="9">
        <v>428</v>
      </c>
      <c r="K37" s="17">
        <v>52.84</v>
      </c>
      <c r="L37" s="17">
        <v>23273.759999999998</v>
      </c>
      <c r="M37" s="9">
        <v>498</v>
      </c>
      <c r="N37" s="17">
        <v>8622.2999999999993</v>
      </c>
      <c r="O37" s="17">
        <v>38377.74</v>
      </c>
    </row>
    <row r="38" spans="8:15" x14ac:dyDescent="0.25">
      <c r="H38" s="3">
        <v>43535</v>
      </c>
      <c r="I38" s="9">
        <v>891</v>
      </c>
      <c r="J38" s="9">
        <v>469</v>
      </c>
      <c r="K38" s="17">
        <v>52.64</v>
      </c>
      <c r="L38" s="17">
        <v>25648.42</v>
      </c>
      <c r="M38" s="9">
        <v>524</v>
      </c>
      <c r="N38" s="17">
        <v>9042.39</v>
      </c>
      <c r="O38" s="17">
        <v>41358.32</v>
      </c>
    </row>
    <row r="39" spans="8:15" x14ac:dyDescent="0.25">
      <c r="H39" s="3">
        <v>43536</v>
      </c>
      <c r="I39" s="9">
        <v>972</v>
      </c>
      <c r="J39" s="9">
        <v>515</v>
      </c>
      <c r="K39" s="17">
        <v>52.98</v>
      </c>
      <c r="L39" s="17">
        <v>28230.02</v>
      </c>
      <c r="M39" s="9">
        <v>577</v>
      </c>
      <c r="N39" s="17">
        <v>9818.6</v>
      </c>
      <c r="O39" s="17">
        <v>45234.02</v>
      </c>
    </row>
    <row r="40" spans="8:15" x14ac:dyDescent="0.25">
      <c r="H40" s="3">
        <v>43537</v>
      </c>
      <c r="I40" s="9">
        <v>1053</v>
      </c>
      <c r="J40" s="9">
        <v>561</v>
      </c>
      <c r="K40" s="17">
        <v>53.28</v>
      </c>
      <c r="L40" s="17">
        <v>30923.71</v>
      </c>
      <c r="M40" s="9">
        <v>616</v>
      </c>
      <c r="N40" s="17">
        <v>10405.99</v>
      </c>
      <c r="O40" s="17">
        <v>49100.31</v>
      </c>
    </row>
    <row r="41" spans="8:15" x14ac:dyDescent="0.25">
      <c r="H41" s="3">
        <v>43538</v>
      </c>
      <c r="I41" s="9">
        <v>1134</v>
      </c>
      <c r="J41" s="9">
        <v>599</v>
      </c>
      <c r="K41" s="17">
        <v>52.82</v>
      </c>
      <c r="L41" s="17">
        <v>33301.519999999997</v>
      </c>
      <c r="M41" s="9">
        <v>645</v>
      </c>
      <c r="N41" s="17">
        <v>10803.09</v>
      </c>
      <c r="O41" s="17">
        <v>52266.32</v>
      </c>
    </row>
    <row r="42" spans="8:15" x14ac:dyDescent="0.25">
      <c r="H42" s="3">
        <v>43539</v>
      </c>
      <c r="I42" s="9">
        <v>1215</v>
      </c>
      <c r="J42" s="9">
        <v>635</v>
      </c>
      <c r="K42" s="17">
        <v>52.26</v>
      </c>
      <c r="L42" s="17">
        <v>35575.800000000003</v>
      </c>
      <c r="M42" s="9">
        <v>677</v>
      </c>
      <c r="N42" s="17">
        <v>11205.39</v>
      </c>
      <c r="O42" s="17">
        <v>55581.07</v>
      </c>
    </row>
    <row r="43" spans="8:15" x14ac:dyDescent="0.25">
      <c r="H43" s="3">
        <v>43540</v>
      </c>
      <c r="I43" s="9">
        <v>1296</v>
      </c>
      <c r="J43" s="9">
        <v>686</v>
      </c>
      <c r="K43" s="17">
        <v>52.93</v>
      </c>
      <c r="L43" s="17">
        <v>38308.71</v>
      </c>
      <c r="M43" s="9">
        <v>740</v>
      </c>
      <c r="N43" s="17">
        <v>12161.59</v>
      </c>
      <c r="O43" s="17">
        <v>60099.79</v>
      </c>
    </row>
    <row r="44" spans="8:15" x14ac:dyDescent="0.25">
      <c r="H44" s="3">
        <v>43541</v>
      </c>
      <c r="I44" s="9">
        <v>1377</v>
      </c>
      <c r="J44" s="9">
        <v>703</v>
      </c>
      <c r="K44" s="17">
        <v>51.05</v>
      </c>
      <c r="L44" s="17">
        <v>39229.75</v>
      </c>
      <c r="M44" s="9">
        <v>766</v>
      </c>
      <c r="N44" s="17">
        <v>12721.69</v>
      </c>
      <c r="O44" s="17">
        <v>61672.61</v>
      </c>
    </row>
    <row r="45" spans="8:15" x14ac:dyDescent="0.25">
      <c r="H45" s="3">
        <v>43542</v>
      </c>
      <c r="I45" s="9">
        <v>1458</v>
      </c>
      <c r="J45" s="9">
        <v>769</v>
      </c>
      <c r="K45" s="17">
        <v>52.74</v>
      </c>
      <c r="L45" s="17">
        <v>43135.79</v>
      </c>
      <c r="M45" s="9">
        <v>826</v>
      </c>
      <c r="N45" s="17">
        <v>13640.09</v>
      </c>
      <c r="O45" s="17">
        <v>67378.210000000006</v>
      </c>
    </row>
    <row r="46" spans="8:15" x14ac:dyDescent="0.25">
      <c r="H46" s="3">
        <v>43543</v>
      </c>
      <c r="I46" s="9">
        <v>1539</v>
      </c>
      <c r="J46" s="9">
        <v>846</v>
      </c>
      <c r="K46" s="17">
        <v>54.97</v>
      </c>
      <c r="L46" s="17">
        <v>47866.239999999998</v>
      </c>
      <c r="M46" s="9">
        <v>915</v>
      </c>
      <c r="N46" s="17">
        <v>14916.74</v>
      </c>
      <c r="O46" s="17">
        <v>74831.3</v>
      </c>
    </row>
    <row r="47" spans="8:15" x14ac:dyDescent="0.25">
      <c r="H47" s="3">
        <v>43544</v>
      </c>
      <c r="I47" s="9">
        <v>1620</v>
      </c>
      <c r="J47" s="9">
        <v>913</v>
      </c>
      <c r="K47" s="17">
        <v>56.36</v>
      </c>
      <c r="L47" s="17">
        <v>51684.32</v>
      </c>
      <c r="M47" s="9">
        <v>974</v>
      </c>
      <c r="N47" s="17">
        <v>15791.96</v>
      </c>
      <c r="O47" s="17">
        <v>80440.36</v>
      </c>
    </row>
    <row r="48" spans="8:15" x14ac:dyDescent="0.25">
      <c r="H48" s="3">
        <v>43545</v>
      </c>
      <c r="I48" s="9">
        <v>1701</v>
      </c>
      <c r="J48" s="9">
        <v>977</v>
      </c>
      <c r="K48" s="17">
        <v>57.44</v>
      </c>
      <c r="L48" s="17">
        <v>55306.27</v>
      </c>
      <c r="M48" s="9">
        <v>1055</v>
      </c>
      <c r="N48" s="17">
        <v>17141.259999999998</v>
      </c>
      <c r="O48" s="17">
        <v>86564.17</v>
      </c>
    </row>
    <row r="49" spans="8:15" x14ac:dyDescent="0.25">
      <c r="H49" s="3">
        <v>43546</v>
      </c>
      <c r="I49" s="9">
        <v>1782</v>
      </c>
      <c r="J49" s="9">
        <v>1009</v>
      </c>
      <c r="K49" s="17">
        <v>56.62</v>
      </c>
      <c r="L49" s="17">
        <v>56903.17</v>
      </c>
      <c r="M49" s="9">
        <v>1102</v>
      </c>
      <c r="N49" s="17">
        <v>17656.240000000002</v>
      </c>
      <c r="O49" s="17">
        <v>89229.14</v>
      </c>
    </row>
    <row r="50" spans="8:15" x14ac:dyDescent="0.25">
      <c r="H50" s="3">
        <v>43547</v>
      </c>
      <c r="I50" s="9">
        <v>1863</v>
      </c>
      <c r="J50" s="9">
        <v>1052</v>
      </c>
      <c r="K50" s="17">
        <v>56.47</v>
      </c>
      <c r="L50" s="17">
        <v>59198.06</v>
      </c>
      <c r="M50" s="9">
        <v>1119</v>
      </c>
      <c r="N50" s="17">
        <v>17922.14</v>
      </c>
      <c r="O50" s="17">
        <v>92597.03</v>
      </c>
    </row>
    <row r="51" spans="8:15" x14ac:dyDescent="0.25">
      <c r="H51" s="3">
        <v>43548</v>
      </c>
      <c r="I51" s="9" t="s">
        <v>26</v>
      </c>
      <c r="J51" s="9" t="s">
        <v>27</v>
      </c>
      <c r="K51" s="17">
        <v>54.84</v>
      </c>
      <c r="L51" s="17">
        <v>59913.760000000002</v>
      </c>
      <c r="M51" s="9" t="s">
        <v>28</v>
      </c>
      <c r="N51" s="17">
        <v>18105.57</v>
      </c>
      <c r="O51" s="17">
        <v>93543.46</v>
      </c>
    </row>
    <row r="52" spans="8:15" x14ac:dyDescent="0.25">
      <c r="H52" s="3">
        <v>43549</v>
      </c>
      <c r="I52" s="9">
        <v>2025</v>
      </c>
      <c r="J52" s="9">
        <v>1108</v>
      </c>
      <c r="K52" s="17">
        <v>54.72</v>
      </c>
      <c r="L52" s="17">
        <v>62309.24</v>
      </c>
      <c r="M52" s="9">
        <v>1174</v>
      </c>
      <c r="N52" s="17">
        <v>18749.77</v>
      </c>
      <c r="O52" s="17">
        <v>97384.37</v>
      </c>
    </row>
    <row r="53" spans="8:15" x14ac:dyDescent="0.25">
      <c r="H53" s="3">
        <v>43550</v>
      </c>
      <c r="I53" s="9" t="s">
        <v>32</v>
      </c>
      <c r="J53" s="9" t="s">
        <v>33</v>
      </c>
      <c r="K53" s="17">
        <v>54.94</v>
      </c>
      <c r="L53" s="17">
        <v>65238.01</v>
      </c>
      <c r="M53" s="9" t="s">
        <v>34</v>
      </c>
      <c r="N53" s="17">
        <v>19577.37</v>
      </c>
      <c r="O53" s="17">
        <v>101591.2</v>
      </c>
    </row>
    <row r="54" spans="8:15" x14ac:dyDescent="0.25">
      <c r="H54" s="3">
        <v>43185</v>
      </c>
      <c r="I54" s="9" t="s">
        <v>32</v>
      </c>
      <c r="J54" s="9" t="s">
        <v>35</v>
      </c>
      <c r="K54" s="17">
        <v>63.15</v>
      </c>
      <c r="L54" s="17">
        <v>68728.039999999994</v>
      </c>
      <c r="M54" s="9" t="s">
        <v>36</v>
      </c>
      <c r="N54" s="17">
        <v>24268.2</v>
      </c>
      <c r="O54" s="17">
        <v>109600.9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N13"/>
  <sheetViews>
    <sheetView workbookViewId="0">
      <selection activeCell="N14" sqref="N14"/>
    </sheetView>
  </sheetViews>
  <sheetFormatPr baseColWidth="10" defaultRowHeight="15" x14ac:dyDescent="0.25"/>
  <cols>
    <col min="1" max="1" width="1.7109375" customWidth="1"/>
    <col min="6" max="6" width="1.7109375" customWidth="1"/>
    <col min="7" max="7" width="10.42578125" hidden="1" customWidth="1"/>
    <col min="8" max="8" width="11.42578125" customWidth="1"/>
    <col min="9" max="9" width="11.28515625" hidden="1" customWidth="1"/>
    <col min="10" max="10" width="11.42578125" customWidth="1"/>
    <col min="12" max="12" width="1.7109375" customWidth="1"/>
    <col min="13" max="13" width="9.28515625" customWidth="1"/>
    <col min="14" max="14" width="8.5703125" customWidth="1"/>
  </cols>
  <sheetData>
    <row r="1" spans="2:14" ht="15.95" customHeight="1" x14ac:dyDescent="0.25">
      <c r="L1" t="s">
        <v>39</v>
      </c>
    </row>
    <row r="2" spans="2:14" ht="15.95" customHeight="1" x14ac:dyDescent="0.25">
      <c r="B2" s="4" t="s">
        <v>0</v>
      </c>
      <c r="C2" s="8">
        <v>43163</v>
      </c>
      <c r="D2" s="1"/>
    </row>
    <row r="3" spans="2:14" ht="15.95" customHeight="1" x14ac:dyDescent="0.25"/>
    <row r="4" spans="2:14" ht="15" customHeight="1" x14ac:dyDescent="0.25"/>
    <row r="5" spans="2:14" x14ac:dyDescent="0.25">
      <c r="D5" s="19">
        <f>YEAR($C$2)</f>
        <v>2018</v>
      </c>
      <c r="E5" s="20">
        <f>D5+1</f>
        <v>2019</v>
      </c>
      <c r="F5" s="2"/>
      <c r="G5" s="2"/>
      <c r="H5" s="4" t="s">
        <v>37</v>
      </c>
      <c r="I5" s="2"/>
      <c r="J5" s="4" t="s">
        <v>38</v>
      </c>
      <c r="K5" s="4" t="s">
        <v>31</v>
      </c>
      <c r="M5" s="30" t="s">
        <v>10</v>
      </c>
      <c r="N5" s="30"/>
    </row>
    <row r="6" spans="2:14" x14ac:dyDescent="0.25">
      <c r="B6" s="35" t="s">
        <v>1</v>
      </c>
      <c r="C6" s="35"/>
      <c r="D6" s="10">
        <f>IFERROR(VLOOKUP($C$2,Data[],MATCH($B6,Data[#Headers],0),0),"")</f>
        <v>324</v>
      </c>
      <c r="E6" s="10">
        <f>IFERROR(VLOOKUP(EDATE($C$2,12),Data[],MATCH($B6,Data[#Headers],0),0),"")</f>
        <v>324</v>
      </c>
      <c r="F6" s="11"/>
      <c r="G6" s="11"/>
      <c r="H6" s="12"/>
      <c r="I6" s="11"/>
      <c r="J6" s="12"/>
      <c r="K6" s="12"/>
      <c r="M6" s="30"/>
      <c r="N6" s="30"/>
    </row>
    <row r="7" spans="2:14" ht="15.75" thickBot="1" x14ac:dyDescent="0.3">
      <c r="B7" s="35" t="s">
        <v>2</v>
      </c>
      <c r="C7" s="35"/>
      <c r="D7" s="10">
        <f>IFERROR(VLOOKUP($C$2,Data[],MATCH($B7,Data[#Headers],0),0),"")</f>
        <v>182</v>
      </c>
      <c r="E7" s="10">
        <f>IFERROR(VLOOKUP(EDATE($C$2,12),Data[],MATCH($B7,Data[#Headers],0),0),"")</f>
        <v>125</v>
      </c>
      <c r="F7" s="11"/>
      <c r="G7" s="11" t="str">
        <f>VLOOKUP(DATE(YEAR($C$2)+1,MONTH($C$2),DAY($C$2)-1),Data[],MATCH($B7,Data[#Headers],0),0)</f>
        <v>88</v>
      </c>
      <c r="H7" s="12">
        <f>IFERROR(E7-G7,"")</f>
        <v>37</v>
      </c>
      <c r="I7" s="11" t="str">
        <f>VLOOKUP(DATE(YEAR($C$2),MONTH($C$2),DAY($C$2)-1),Data[],MATCH($B7,Data[#Headers],0),0)</f>
        <v>156</v>
      </c>
      <c r="J7" s="12">
        <f>IFERROR(D7-I7,"")</f>
        <v>26</v>
      </c>
      <c r="K7" s="12">
        <f>IFERROR(E7-D7,"")</f>
        <v>-57</v>
      </c>
      <c r="M7" s="31"/>
      <c r="N7" s="31"/>
    </row>
    <row r="8" spans="2:14" x14ac:dyDescent="0.25">
      <c r="B8" s="35" t="s">
        <v>3</v>
      </c>
      <c r="C8" s="35"/>
      <c r="D8" s="14">
        <f>IFERROR(VLOOKUP($C$2,Data[],MATCH($B8,Data[#Headers],0),0),"")</f>
        <v>56.17</v>
      </c>
      <c r="E8" s="14">
        <f>IFERROR(VLOOKUP(EDATE($C$2,12),Data[],MATCH($B8,Data[#Headers],0),0),"")</f>
        <v>38.58</v>
      </c>
      <c r="F8" s="11"/>
      <c r="G8" s="11">
        <f>VLOOKUP(DATE(YEAR($C$2)+1,MONTH($C$2),DAY($C$2)-1),Data[],MATCH($B8,Data[#Headers],0),0)</f>
        <v>36.21</v>
      </c>
      <c r="H8" s="14">
        <f>IFERROR(E8-G8,"")</f>
        <v>2.3699999999999974</v>
      </c>
      <c r="I8" s="11">
        <f>VLOOKUP(DATE(YEAR($C$2),MONTH($C$2),DAY($C$2)-1),Data[],MATCH($B8,Data[#Headers],0),0)</f>
        <v>64.2</v>
      </c>
      <c r="J8" s="14">
        <f>IFERROR(D8-I8,"")</f>
        <v>-8.0300000000000011</v>
      </c>
      <c r="K8" s="14">
        <f>IFERROR(E8-D8,"")</f>
        <v>-17.590000000000003</v>
      </c>
      <c r="M8" s="32">
        <f>IFERROR(H7/81,"")</f>
        <v>0.4567901234567901</v>
      </c>
      <c r="N8" s="32"/>
    </row>
    <row r="9" spans="2:14" x14ac:dyDescent="0.25">
      <c r="B9" s="35" t="s">
        <v>4</v>
      </c>
      <c r="C9" s="35"/>
      <c r="D9" s="14">
        <f>IFERROR(VLOOKUP($C$2,Data[],MATCH($B9,Data[#Headers],0),0),"")</f>
        <v>10338.59</v>
      </c>
      <c r="E9" s="14">
        <f>IFERROR(VLOOKUP(EDATE($C$2,12),Data[],MATCH($B9,Data[#Headers],0),0),"")</f>
        <v>6719.56</v>
      </c>
      <c r="F9" s="11"/>
      <c r="G9" s="11">
        <f>VLOOKUP(DATE(YEAR($C$2)+1,MONTH($C$2),DAY($C$2)-1),Data[],MATCH($B9,Data[#Headers],0),0)</f>
        <v>4277.21</v>
      </c>
      <c r="H9" s="14">
        <f>IFERROR(E9-G9,"")</f>
        <v>2442.3500000000004</v>
      </c>
      <c r="I9" s="11">
        <f>VLOOKUP(DATE(YEAR($C$2),MONTH($C$2),DAY($C$2)-1),Data[],MATCH($B9,Data[#Headers],0),0)</f>
        <v>9020.85</v>
      </c>
      <c r="J9" s="14">
        <f>IFERROR(D9-I9,"")</f>
        <v>1317.7399999999998</v>
      </c>
      <c r="K9" s="14">
        <f>IFERROR(E9-D9,"")</f>
        <v>-3619.0299999999997</v>
      </c>
    </row>
    <row r="10" spans="2:14" x14ac:dyDescent="0.25">
      <c r="B10" s="35" t="s">
        <v>5</v>
      </c>
      <c r="C10" s="35"/>
      <c r="D10" s="10">
        <f>IFERROR(VLOOKUP($C$2,Data[],MATCH($B10,Data[#Headers],0),0),"")</f>
        <v>266</v>
      </c>
      <c r="E10" s="10">
        <f>IFERROR(VLOOKUP(EDATE($C$2,12),Data[],MATCH($B10,Data[#Headers],0),0),"")</f>
        <v>124</v>
      </c>
      <c r="F10" s="11"/>
      <c r="G10" s="11" t="str">
        <f>VLOOKUP(DATE(YEAR($C$2)+1,MONTH($C$2),DAY($C$2)-1),Data[],MATCH($B10,Data[#Headers],0),0)</f>
        <v>78</v>
      </c>
      <c r="H10" s="10">
        <f>IFERROR(E10-G10,"")</f>
        <v>46</v>
      </c>
      <c r="I10" s="11" t="str">
        <f>VLOOKUP(DATE(YEAR($C$2),MONTH($C$2),DAY($C$2)-1),Data[],MATCH($B10,Data[#Headers],0),0)</f>
        <v>241</v>
      </c>
      <c r="J10" s="12">
        <f>IFERROR(D10-I10,"")</f>
        <v>25</v>
      </c>
      <c r="K10" s="12">
        <f>IFERROR(E10-D10,"")</f>
        <v>-142</v>
      </c>
    </row>
    <row r="11" spans="2:14" x14ac:dyDescent="0.25">
      <c r="B11" s="36" t="s">
        <v>6</v>
      </c>
      <c r="C11" s="36"/>
      <c r="D11" s="15">
        <f>IFERROR(VLOOKUP($C$2,Data[],MATCH($B11,Data[#Headers],0),0),"")</f>
        <v>4519.51</v>
      </c>
      <c r="E11" s="15">
        <f>IFERROR(VLOOKUP(EDATE($C$2,12),Data[],MATCH($B11,Data[#Headers],0),0),"")</f>
        <v>2163.1799999999998</v>
      </c>
      <c r="F11" s="11"/>
      <c r="G11" s="11">
        <f>VLOOKUP(DATE(YEAR($C$2)+1,MONTH($C$2),DAY($C$2)-1),Data[],MATCH($B11,Data[#Headers],0),0)</f>
        <v>1379.1</v>
      </c>
      <c r="H11" s="14">
        <f>IFERROR(E11-G11,"")</f>
        <v>784.07999999999993</v>
      </c>
      <c r="I11" s="11">
        <f>VLOOKUP(DATE(YEAR($C$2),MONTH($C$2),DAY($C$2)-1),Data[],MATCH($B11,Data[#Headers],0),0)</f>
        <v>3826.51</v>
      </c>
      <c r="J11" s="14">
        <f>IFERROR(D11-I11,"")</f>
        <v>693</v>
      </c>
      <c r="K11" s="14">
        <f>IFERROR(E11-D11,"")</f>
        <v>-2356.3300000000004</v>
      </c>
      <c r="M11" s="4" t="s">
        <v>9</v>
      </c>
      <c r="N11" s="5">
        <f>IFERROR(E9/E6,"")</f>
        <v>20.739382716049384</v>
      </c>
    </row>
    <row r="12" spans="2:14" ht="15.75" thickBot="1" x14ac:dyDescent="0.3">
      <c r="B12" s="33"/>
      <c r="C12" s="33"/>
      <c r="D12" s="18" t="str">
        <f>IFERROR(VLOOKUP($C$2,Data[],MATCH($B12,Data[#Headers],0),0),"")</f>
        <v/>
      </c>
      <c r="E12" s="18" t="str">
        <f>IFERROR(VLOOKUP(EDATE($C$2,12),Data[],MATCH($B12,Data[#Headers],0),0),"")</f>
        <v/>
      </c>
      <c r="F12" s="11"/>
      <c r="G12" s="11"/>
      <c r="H12" s="13"/>
      <c r="I12" s="11"/>
      <c r="J12" s="13"/>
      <c r="K12" s="13"/>
      <c r="M12" s="4" t="s">
        <v>8</v>
      </c>
      <c r="N12" s="7">
        <f>IFERROR(D9/D6,"")</f>
        <v>31.909228395061728</v>
      </c>
    </row>
    <row r="13" spans="2:14" x14ac:dyDescent="0.25">
      <c r="B13" s="34" t="s">
        <v>7</v>
      </c>
      <c r="C13" s="34"/>
      <c r="D13" s="16">
        <f>IFERROR(VLOOKUP($C$2,Data[],MATCH($B13,Data[#Headers],0),0),"")</f>
        <v>17161.72</v>
      </c>
      <c r="E13" s="16">
        <f>IFERROR(VLOOKUP(EDATE($C$2,12),Data[],MATCH($B13,Data[#Headers],0),0),"")</f>
        <v>10867.95</v>
      </c>
      <c r="F13" s="11"/>
      <c r="G13" s="11">
        <f>VLOOKUP(DATE(YEAR($C$2)+1,MONTH($C$2),DAY($C$2)-1),Data[],MATCH($B13,Data[#Headers],0),0)</f>
        <v>7135.9</v>
      </c>
      <c r="H13" s="16">
        <f>IFERROR(E13-G13,"")</f>
        <v>3732.0500000000011</v>
      </c>
      <c r="I13" s="11">
        <f>VLOOKUP(DATE(YEAR($C$2),MONTH($C$2),DAY($C$2)-1),Data[],MATCH($B13,Data[#Headers],0),0)</f>
        <v>14954.38</v>
      </c>
      <c r="J13" s="16">
        <f>IFERROR(D13-I13,"")</f>
        <v>2207.340000000002</v>
      </c>
      <c r="K13" s="16">
        <f>IFERROR(E13-D13,"")</f>
        <v>-6293.77</v>
      </c>
      <c r="N13" s="6">
        <f>IFERROR(N11-N12,"")</f>
        <v>-11.169845679012344</v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M5:N7"/>
    <mergeCell ref="M8:N8"/>
    <mergeCell ref="B12:C12"/>
    <mergeCell ref="B13:C13"/>
    <mergeCell ref="B6:C6"/>
    <mergeCell ref="B7:C7"/>
    <mergeCell ref="B8:C8"/>
    <mergeCell ref="B9:C9"/>
    <mergeCell ref="B10:C10"/>
    <mergeCell ref="B11:C11"/>
  </mergeCells>
  <conditionalFormatting sqref="N13">
    <cfRule type="cellIs" dxfId="5" priority="3" operator="greaterThan">
      <formula>0</formula>
    </cfRule>
    <cfRule type="cellIs" dxfId="4" priority="4" operator="lessThan">
      <formula>0</formula>
    </cfRule>
  </conditionalFormatting>
  <conditionalFormatting sqref="K13 K7:K11 H8 J8">
    <cfRule type="cellIs" dxfId="3" priority="1" operator="greaterThan">
      <formula>0</formula>
    </cfRule>
    <cfRule type="cellIs" dxfId="2" priority="2" operator="lessThan">
      <formula>0</formula>
    </cfRule>
  </conditionalFormatting>
  <dataValidations count="1">
    <dataValidation allowBlank="1" showErrorMessage="1" sqref="C2" xr:uid="{00000000-0002-0000-0100-000000000000}"/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2F412-5E40-4782-8330-A19CA50B41EC}">
  <sheetPr codeName="Feuil4"/>
  <dimension ref="B2:M14"/>
  <sheetViews>
    <sheetView showGridLines="0" tabSelected="1" workbookViewId="0">
      <selection activeCell="H14" sqref="H14"/>
    </sheetView>
  </sheetViews>
  <sheetFormatPr baseColWidth="10" defaultRowHeight="15" x14ac:dyDescent="0.25"/>
  <cols>
    <col min="1" max="1" width="1.7109375" customWidth="1"/>
    <col min="6" max="6" width="1.7109375" customWidth="1"/>
    <col min="9" max="9" width="1.7109375" customWidth="1"/>
    <col min="11" max="11" width="1.7109375" customWidth="1"/>
    <col min="12" max="13" width="9.42578125" customWidth="1"/>
  </cols>
  <sheetData>
    <row r="2" spans="2:13" x14ac:dyDescent="0.25">
      <c r="B2" s="4" t="s">
        <v>0</v>
      </c>
    </row>
    <row r="3" spans="2:13" x14ac:dyDescent="0.25">
      <c r="B3" s="8">
        <v>43161</v>
      </c>
      <c r="C3" s="27"/>
      <c r="D3" s="37" t="s">
        <v>40</v>
      </c>
      <c r="E3" s="39"/>
      <c r="G3" s="37" t="str">
        <f xml:space="preserve"> "Mois de " &amp; PROPER(TEXT(30*MONTH(B3),"mmmm"))</f>
        <v>Mois de Mars</v>
      </c>
      <c r="H3" s="38"/>
      <c r="I3" s="38"/>
      <c r="J3" s="38"/>
      <c r="K3" s="38"/>
      <c r="L3" s="38"/>
      <c r="M3" s="39"/>
    </row>
    <row r="4" spans="2:13" x14ac:dyDescent="0.25">
      <c r="D4" s="40"/>
      <c r="E4" s="42"/>
      <c r="G4" s="40"/>
      <c r="H4" s="41"/>
      <c r="I4" s="41"/>
      <c r="J4" s="41"/>
      <c r="K4" s="41"/>
      <c r="L4" s="41"/>
      <c r="M4" s="42"/>
    </row>
    <row r="5" spans="2:13" ht="5.0999999999999996" customHeight="1" x14ac:dyDescent="0.25"/>
    <row r="6" spans="2:13" ht="29.25" customHeight="1" x14ac:dyDescent="0.25">
      <c r="D6" s="22">
        <f>$B$3</f>
        <v>43161</v>
      </c>
      <c r="E6" s="22">
        <f>EDATE(B3, 12)</f>
        <v>43526</v>
      </c>
      <c r="G6" s="19">
        <f>YEAR($B$3)</f>
        <v>2018</v>
      </c>
      <c r="H6" s="20">
        <f>G6+1</f>
        <v>2019</v>
      </c>
      <c r="J6" s="21" t="str">
        <f>"Différence "&amp; H6 &amp; "-" &amp; G6</f>
        <v>Différence 2019-2018</v>
      </c>
      <c r="L6" s="30" t="s">
        <v>10</v>
      </c>
      <c r="M6" s="30"/>
    </row>
    <row r="7" spans="2:13" x14ac:dyDescent="0.25">
      <c r="B7" s="35" t="s">
        <v>1</v>
      </c>
      <c r="C7" s="35"/>
      <c r="D7" s="24" t="str">
        <f>IFERROR(VLOOKUP($B$3,Data[],MATCH($B7,Data[#Headers],0),0),"")</f>
        <v>162</v>
      </c>
      <c r="E7" s="24" t="str">
        <f>IFERROR(VLOOKUP(EDATE($B$3,12),Data[],MATCH($B7,Data[#Headers],0),0),"")</f>
        <v>162</v>
      </c>
      <c r="G7" s="24"/>
      <c r="H7" s="24"/>
      <c r="J7" s="24">
        <f>IFERROR(H7-G7,"")</f>
        <v>0</v>
      </c>
      <c r="L7" s="30"/>
      <c r="M7" s="30"/>
    </row>
    <row r="8" spans="2:13" ht="15.75" thickBot="1" x14ac:dyDescent="0.3">
      <c r="B8" s="35" t="s">
        <v>2</v>
      </c>
      <c r="C8" s="35"/>
      <c r="D8" s="24" t="str">
        <f>IFERROR(VLOOKUP($B$3,Data[],MATCH($B8,Data[#Headers],0),0),"")</f>
        <v>98</v>
      </c>
      <c r="E8" s="24" t="str">
        <f>IFERROR(VLOOKUP(EDATE($B$3,12),Data[],MATCH($B8,Data[#Headers],0),0),"")</f>
        <v>72</v>
      </c>
      <c r="G8" s="24"/>
      <c r="H8" s="24"/>
      <c r="J8" s="24">
        <f t="shared" ref="J8:J12" si="0">IFERROR(H8-G8,"")</f>
        <v>0</v>
      </c>
      <c r="L8" s="31"/>
      <c r="M8" s="31"/>
    </row>
    <row r="9" spans="2:13" x14ac:dyDescent="0.25">
      <c r="B9" s="35" t="s">
        <v>3</v>
      </c>
      <c r="C9" s="35"/>
      <c r="D9" s="26">
        <f>IFERROR(VLOOKUP($B$3,Data[],MATCH($B9,Data[#Headers],0),0),"")</f>
        <v>60.5</v>
      </c>
      <c r="E9" s="26">
        <f>IFERROR(VLOOKUP(EDATE($B$3,12),Data[],MATCH($B9,Data[#Headers],0),0),"")</f>
        <v>44.45</v>
      </c>
      <c r="G9" s="26"/>
      <c r="H9" s="26"/>
      <c r="J9" s="26">
        <f t="shared" si="0"/>
        <v>0</v>
      </c>
      <c r="L9" s="32"/>
      <c r="M9" s="32"/>
    </row>
    <row r="10" spans="2:13" x14ac:dyDescent="0.25">
      <c r="B10" s="35" t="s">
        <v>4</v>
      </c>
      <c r="C10" s="35"/>
      <c r="D10" s="26">
        <f>IFERROR(VLOOKUP($B$3,Data[],MATCH($B10,Data[#Headers],0),0),"")</f>
        <v>5964.85</v>
      </c>
      <c r="E10" s="26">
        <f>IFERROR(VLOOKUP(EDATE($B$3,12),Data[],MATCH($B10,Data[#Headers],0),0),"")</f>
        <v>3449.11</v>
      </c>
      <c r="G10" s="26"/>
      <c r="H10" s="26"/>
      <c r="J10" s="26">
        <f t="shared" si="0"/>
        <v>0</v>
      </c>
    </row>
    <row r="11" spans="2:13" x14ac:dyDescent="0.25">
      <c r="B11" s="35" t="s">
        <v>5</v>
      </c>
      <c r="C11" s="35"/>
      <c r="D11" s="24" t="str">
        <f>IFERROR(VLOOKUP($B$3,Data[],MATCH($B11,Data[#Headers],0),0),"")</f>
        <v>133</v>
      </c>
      <c r="E11" s="24" t="str">
        <f>IFERROR(VLOOKUP(EDATE($B$3,12),Data[],MATCH($B11,Data[#Headers],0),0),"")</f>
        <v>50</v>
      </c>
      <c r="G11" s="24"/>
      <c r="H11" s="24"/>
      <c r="J11" s="24">
        <f t="shared" si="0"/>
        <v>0</v>
      </c>
      <c r="L11" s="4" t="s">
        <v>9</v>
      </c>
      <c r="M11" s="28" t="str">
        <f>IFERROR(H10/H7,"")</f>
        <v/>
      </c>
    </row>
    <row r="12" spans="2:13" x14ac:dyDescent="0.25">
      <c r="B12" s="36" t="s">
        <v>6</v>
      </c>
      <c r="C12" s="36"/>
      <c r="D12" s="26">
        <f>IFERROR(VLOOKUP($B$3,Data[],MATCH($B12,Data[#Headers],0),0),"")</f>
        <v>2052.73</v>
      </c>
      <c r="E12" s="26">
        <f>IFERROR(VLOOKUP(EDATE($B$3,12),Data[],MATCH($B12,Data[#Headers],0),0),"")</f>
        <v>762.6</v>
      </c>
      <c r="G12" s="26"/>
      <c r="H12" s="26"/>
      <c r="J12" s="26">
        <f t="shared" si="0"/>
        <v>0</v>
      </c>
      <c r="L12" s="4" t="s">
        <v>8</v>
      </c>
      <c r="M12" s="28" t="str">
        <f>IFERROR(G10/G7,"")</f>
        <v/>
      </c>
    </row>
    <row r="13" spans="2:13" ht="5.0999999999999996" customHeight="1" thickBot="1" x14ac:dyDescent="0.3">
      <c r="B13" s="33"/>
      <c r="C13" s="33"/>
      <c r="D13" s="23"/>
      <c r="E13" s="23"/>
      <c r="G13" s="23"/>
      <c r="H13" s="23"/>
      <c r="J13" s="23"/>
      <c r="M13" s="29"/>
    </row>
    <row r="14" spans="2:13" x14ac:dyDescent="0.25">
      <c r="B14" s="34" t="s">
        <v>7</v>
      </c>
      <c r="C14" s="34"/>
      <c r="D14" s="25">
        <f>IFERROR(VLOOKUP($B$3,Data[],MATCH($B14,Data[#Headers],0),0),"")</f>
        <v>9349.84</v>
      </c>
      <c r="E14" s="25">
        <f>IFERROR(VLOOKUP(EDATE($B$3,12),Data[],MATCH($B14,Data[#Headers],0),0),"")</f>
        <v>5606.5</v>
      </c>
      <c r="G14" s="25"/>
      <c r="H14" s="25"/>
      <c r="J14" s="25">
        <f>IFERROR(H14-G14,"")</f>
        <v>0</v>
      </c>
      <c r="M14" s="6" t="str">
        <f>IFERROR(M11-M12,"")</f>
        <v/>
      </c>
    </row>
  </sheetData>
  <mergeCells count="12">
    <mergeCell ref="B13:C13"/>
    <mergeCell ref="B14:C14"/>
    <mergeCell ref="L6:M8"/>
    <mergeCell ref="L9:M9"/>
    <mergeCell ref="G3:M4"/>
    <mergeCell ref="D3:E4"/>
    <mergeCell ref="B7:C7"/>
    <mergeCell ref="B8:C8"/>
    <mergeCell ref="B9:C9"/>
    <mergeCell ref="B10:C10"/>
    <mergeCell ref="B11:C11"/>
    <mergeCell ref="B12:C12"/>
  </mergeCells>
  <conditionalFormatting sqref="M14">
    <cfRule type="cellIs" dxfId="1" priority="1" operator="greaterThan">
      <formula>0</formula>
    </cfRule>
    <cfRule type="cellIs" dxfId="0" priority="2" operator="lessThan">
      <formula>0</formula>
    </cfRule>
  </conditionalFormatting>
  <dataValidations count="1">
    <dataValidation allowBlank="1" showErrorMessage="1" sqref="B3:C3" xr:uid="{ED747CE0-06E1-433F-B1C1-F12A56A2B189}"/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72D046-894F-4D48-A312-CE6410C83EE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Comparaison</vt:lpstr>
      <vt:lpstr>Feuil1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Campanile Nîmes-Centre Mas-Carbonnel</dc:creator>
  <cp:lastModifiedBy>Laloute</cp:lastModifiedBy>
  <dcterms:created xsi:type="dcterms:W3CDTF">2019-03-19T00:41:16Z</dcterms:created>
  <dcterms:modified xsi:type="dcterms:W3CDTF">2019-03-30T12:10:19Z</dcterms:modified>
</cp:coreProperties>
</file>